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_rels/sheet7.xml.rels" ContentType="application/vnd.openxmlformats-package.relationships+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officedocument/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Compatibility="false"/>
  <workbookProtection/>
  <bookViews>
    <workbookView showHorizontalScroll="true" showVerticalScroll="true" showSheetTabs="true" xWindow="0" yWindow="0" windowWidth="16384" windowHeight="8192" tabRatio="600" firstSheet="0" activeTab="0"/>
  </bookViews>
  <sheets>
    <sheet name="Read me" sheetId="1" state="visible" r:id="rId3"/>
    <sheet name="Inputs" sheetId="2" state="visible" r:id="rId4"/>
    <sheet name="The two conversions" sheetId="3" state="visible" r:id="rId5"/>
    <sheet name="The bond" sheetId="4" state="visible" r:id="rId6"/>
    <sheet name="The placement" sheetId="5" state="visible" r:id="rId7"/>
    <sheet name="The allocation" sheetId="6" state="visible" r:id="rId8"/>
    <sheet name="The register" sheetId="7" state="visible" r:id="rId9"/>
    <sheet name="The two absences" sheetId="8" state="visible" r:id="rId10"/>
    <sheet name="Checks" sheetId="9" state="visible" r:id="rId11"/>
  </sheets>
  <definedNames>
    <definedName function="false" hidden="true" localSheetId="6" name="_xlnm._FilterDatabase" vbProcedure="false">'The register'!$A$7:$L$16</definedName>
    <definedName function="false" hidden="false" name="AccLbl" vbProcedure="false">Inputs!$A$55:$A$58</definedName>
    <definedName function="false" hidden="false" name="Annuity" vbProcedure="false">'The two conversions'!$B$36</definedName>
    <definedName function="false" hidden="false" name="Basis" vbProcedure="false">Inputs!$B$31</definedName>
    <definedName function="false" hidden="false" name="BondExp" vbProcedure="false">Inputs!$B$22</definedName>
    <definedName function="false" hidden="false" name="CommBp" vbProcedure="false">Inputs!$B$21</definedName>
    <definedName function="false" hidden="false" name="CommRate" vbProcedure="false">Inputs!$B$42</definedName>
    <definedName function="false" hidden="false" name="ConcLin" vbProcedure="false">'The bond'!$C$8</definedName>
    <definedName function="false" hidden="false" name="Coupon" vbProcedure="false">Inputs!$B$19</definedName>
    <definedName function="false" hidden="false" name="CurveMat" vbProcedure="false">Inputs!$B$8:$B$10</definedName>
    <definedName function="false" hidden="false" name="CurveSpr" vbProcedure="false">Inputs!$C$8:$C$10</definedName>
    <definedName function="false" hidden="false" name="Day1Spr" vbProcedure="false">Inputs!$B$23</definedName>
    <definedName function="false" hidden="false" name="Demand" vbProcedure="false">Inputs!$B$55:$B$58</definedName>
    <definedName function="false" hidden="false" name="ExeBook" vbProcedure="false">Inputs!$C$66:$C$69</definedName>
    <definedName function="false" hidden="false" name="ExeSpr" vbProcedure="false">Inputs!$B$66:$B$69</definedName>
    <definedName function="false" hidden="false" name="FeeBond" vbProcedure="false">'The register'!$B$25</definedName>
    <definedName function="false" hidden="false" name="FeePlacement" vbProcedure="false">'The register'!$B$26</definedName>
    <definedName function="false" hidden="false" name="GainExact" vbProcedure="false">'The bond'!$B$38</definedName>
    <definedName function="false" hidden="false" name="IssueSize" vbProcedure="false">Inputs!$B$15</definedName>
    <definedName function="false" hidden="false" name="MidSwap" vbProcedure="false">Inputs!$B$20</definedName>
    <definedName function="false" hidden="false" name="ModDur" vbProcedure="false">'The two conversions'!$B$38</definedName>
    <definedName function="false" hidden="false" name="PlacePrice" vbProcedure="false">Inputs!$B$41</definedName>
    <definedName function="false" hidden="false" name="Price" vbProcedure="false">'The two conversions'!$B$34</definedName>
    <definedName function="false" hidden="false" name="Price1" vbProcedure="false">'The two conversions'!$B$35</definedName>
    <definedName function="false" hidden="false" name="PV01" vbProcedure="false">'The two conversions'!$B$39</definedName>
    <definedName function="false" hidden="false" name="RefLbl" vbProcedure="false">Inputs!$A$45:$A$48</definedName>
    <definedName function="false" hidden="false" name="RefLvl" vbProcedure="false">Inputs!$B$45:$B$48</definedName>
    <definedName function="false" hidden="false" name="RefPreLeak" vbProcedure="false">Inputs!$B$50</definedName>
    <definedName function="false" hidden="false" name="RefQuoted" vbProcedure="false">Inputs!$B$49</definedName>
    <definedName function="false" hidden="false" name="ReofferSpr" vbProcedure="false">Inputs!$B$17</definedName>
    <definedName function="false" hidden="false" name="Retain" vbProcedure="false">Inputs!$D$55:$D$58</definedName>
    <definedName function="false" hidden="false" name="Service" vbProcedure="false">Inputs!$C$55:$C$58</definedName>
    <definedName function="false" hidden="false" name="SharesNew" vbProcedure="false">Inputs!$B$40</definedName>
    <definedName function="false" hidden="false" name="SharesOld" vbProcedure="false">Inputs!$B$39</definedName>
    <definedName function="false" hidden="false" name="TargetMat" vbProcedure="false">Inputs!$B$16</definedName>
    <definedName function="false" hidden="false" name="Tenor" vbProcedure="false">Inputs!$B$18</definedName>
    <definedName function="false" hidden="false" name="UsdAmount" vbProcedure="false">Inputs!$B$28</definedName>
    <definedName function="false" hidden="false" name="UsdCoupon" vbProcedure="false">Inputs!$B$29</definedName>
    <definedName function="false" hidden="false" name="UsdMidSwap" vbProcedure="false">Inputs!$B$30</definedName>
    <definedName function="false" hidden="false" name="Yld" vbProcedure="false">'The two conversions'!$B$8</definedName>
    <definedName function="false" hidden="false" name="Yld1" vbProcedure="false">'The two conversions'!$B$9</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<sst xmlns="http://schemas.openxmlformats.org/spreadsheetml/2006/main" count="543" uniqueCount="376">
  <si>
    <t xml:space="preserve">Capital Markets - The Register</t>
  </si>
  <si>
    <t xml:space="preserve">Companion workbook 4, by Julian R. Sterling</t>
  </si>
  <si>
    <t xml:space="preserve">What this workbook does</t>
  </si>
  <si>
    <t xml:space="preserve">It is the checklist from Chapter 16 as a spreadsheet. One row per convention, with the transaction it belongs to, where it was made, who made it, the reading that was used, the alternative a competent analyst would accept without argument, and what the difference between them is worth in euros. The euro column is live: it is computed from the two transactions on the sheets behind it, not typed.</t>
  </si>
  <si>
    <t xml:space="preserve">How to use it on a transaction this book does not cover</t>
  </si>
  <si>
    <t xml:space="preserve">Replace the two conversion factors on The two conversions with your own - the annuity factor times the issue size for a bond, the share count for equity - and then work down the register against whatever you last priced. List every number in the transaction summary that is a difference rather than a level, write its second term out in full in words, ask whether anybody transacted at that second term, find one alternative a competent analyst would accept, convert the gap into euros, and rank what results.</t>
  </si>
  <si>
    <t xml:space="preserve">The column that is deliberately empty</t>
  </si>
  <si>
    <t xml:space="preserve">The last column of the register records how each choice was actually made, by whom, and on what date. The case for Ardennes could not supply it, because it is internal. On most transactions that column will be substantially empty, and the empty cells are the finding: a choice worth more than the underwriting commission that nobody can attribute to a person or a moment has not been delegated, it has been abandoned.</t>
  </si>
  <si>
    <t xml:space="preserve">What the register must not be asked to do</t>
  </si>
  <si>
    <t xml:space="preserve">It must not add up. The rows are not additive: some are costs, some are attributions between lines already inside a total, and two of them belong to different transactions. A column of numbers in a common unit invites a sum, and the sum would be meaningless. The register is for ranking, not for totalling. There is no total row, and that is deliberate.</t>
  </si>
  <si>
    <t xml:space="preserve">The two entries the map cannot carry</t>
  </si>
  <si>
    <t xml:space="preserve">Book elasticity and the retention rates are on no row of the register, and their absence is the point. A convention has at least two defensible values and a person who chose between them. Those two quantities have no defensible value at all. The two absences sheet sets out what can be said about each - a one-sided bound in the first case, a declared behavioural assumption in the second - and what it costs to pretend otherwise.</t>
  </si>
  <si>
    <t xml:space="preserve">On the checks</t>
  </si>
  <si>
    <t xml:space="preserve">The Checks sheet reproduces by formula every euro figure in the register, together with the three derivations Chapter 16 states explicitly and the supporting figures each row rests on.</t>
  </si>
  <si>
    <t xml:space="preserve">Revised 24 September 2026</t>
  </si>
  <si>
    <t xml:space="preserve">Re-verified: every figure the book prints still reproduces. The companion page said the register's rows come to EUR 17,148,880 across the year. The register has nine rows with a euro figure and no total, by design; 17,148,880 was two of them added together, the reference choice (15,675,000) and the interpolation choice (1,473,880), a sum this workbook says must not be made. Book elasticity and the retention rates sit on The two absences, not on the register. Two checks added, eighty-five in all.</t>
  </si>
  <si>
    <t xml:space="preserve">Inputs - both Ardennes transactions</t>
  </si>
  <si>
    <t xml:space="preserve">Blue on pale yellow is an input, and you may edit it. Everything else in this file is a formula over these cells.</t>
  </si>
  <si>
    <t xml:space="preserve">The bond: the three secondary quotations</t>
  </si>
  <si>
    <t xml:space="preserve">bond</t>
  </si>
  <si>
    <t xml:space="preserve">maturity, years</t>
  </si>
  <si>
    <t xml:space="preserve">spread over mid-swaps, bp</t>
  </si>
  <si>
    <t xml:space="preserve">2.500% March 2028</t>
  </si>
  <si>
    <t xml:space="preserve">3.250% September 2030</t>
  </si>
  <si>
    <t xml:space="preserve">1.875% January 2036</t>
  </si>
  <si>
    <t xml:space="preserve">The bond: terms and bill</t>
  </si>
  <si>
    <t xml:space="preserve">input</t>
  </si>
  <si>
    <t xml:space="preserve">value</t>
  </si>
  <si>
    <t xml:space="preserve">Amount raised, EUR</t>
  </si>
  <si>
    <t xml:space="preserve">Target maturity, years</t>
  </si>
  <si>
    <t xml:space="preserve">Reoffer spread over mid-swaps, bp</t>
  </si>
  <si>
    <t xml:space="preserve">Tenor, years</t>
  </si>
  <si>
    <t xml:space="preserve">Annual coupon</t>
  </si>
  <si>
    <t xml:space="preserve">Seven-year euro mid-swap at 30 June 2026</t>
  </si>
  <si>
    <t xml:space="preserve">Underwriting commission, bp of the amount raised</t>
  </si>
  <si>
    <t xml:space="preserve">Legal, rating, listing and roadshow, EUR</t>
  </si>
  <si>
    <t xml:space="preserve">Spread at the close of the first day, bp</t>
  </si>
  <si>
    <t xml:space="preserve">The other currency</t>
  </si>
  <si>
    <t xml:space="preserve">Dollar amount indicated, USD</t>
  </si>
  <si>
    <t xml:space="preserve">Dollar coupon indicated</t>
  </si>
  <si>
    <t xml:space="preserve">Seven-year dollar mid-swap at 30 June 2026</t>
  </si>
  <si>
    <t xml:space="preserve">Cross-currency basis, seven years, bp</t>
  </si>
  <si>
    <t xml:space="preserve">The basis is quoted on the euro leg and is negative. The decomposition below supposes that, and says so here, where the figure is entered.</t>
  </si>
  <si>
    <t xml:space="preserve">The placement</t>
  </si>
  <si>
    <t xml:space="preserve">Shares already in issue</t>
  </si>
  <si>
    <t xml:space="preserve">Shares placed</t>
  </si>
  <si>
    <t xml:space="preserve">Placement price, EUR</t>
  </si>
  <si>
    <t xml:space="preserve">Commission, share of gross proceeds</t>
  </si>
  <si>
    <t xml:space="preserve">reference</t>
  </si>
  <si>
    <t xml:space="preserve">level, EUR</t>
  </si>
  <si>
    <t xml:space="preserve">Thirty-day volume weighted average</t>
  </si>
  <si>
    <t xml:space="preserve">Last close</t>
  </si>
  <si>
    <t xml:space="preserve">Five-day volume weighted average</t>
  </si>
  <si>
    <t xml:space="preserve">Close before the wall-crossing</t>
  </si>
  <si>
    <t xml:space="preserve">Row of the reference the announcement quotes</t>
  </si>
  <si>
    <t xml:space="preserve">Row of the reference standing before the wall-crossing</t>
  </si>
  <si>
    <t xml:space="preserve">The order book, and the allocation</t>
  </si>
  <si>
    <t xml:space="preserve">account</t>
  </si>
  <si>
    <t xml:space="preserve">demand, EUR</t>
  </si>
  <si>
    <t xml:space="preserve">service rate</t>
  </si>
  <si>
    <t xml:space="preserve">retained at thirty days</t>
  </si>
  <si>
    <t xml:space="preserve">Long-only asset managers</t>
  </si>
  <si>
    <t xml:space="preserve">Insurers and pension funds</t>
  </si>
  <si>
    <t xml:space="preserve">Bank treasuries</t>
  </si>
  <si>
    <t xml:space="preserve">Hedge funds</t>
  </si>
  <si>
    <t xml:space="preserve">The retention rates are a declared behavioural assumption, not an observation. No published data breaks retention down by investor type. See The two absences.</t>
  </si>
  <si>
    <t xml:space="preserve">The execution, for the attrition in the book</t>
  </si>
  <si>
    <t xml:space="preserve">stage</t>
  </si>
  <si>
    <t xml:space="preserve">spread, bp</t>
  </si>
  <si>
    <t xml:space="preserve">order book, EUR</t>
  </si>
  <si>
    <t xml:space="preserve">Initial price thoughts</t>
  </si>
  <si>
    <t xml:space="preserve">Price guidance</t>
  </si>
  <si>
    <t xml:space="preserve">Launch</t>
  </si>
  <si>
    <t xml:space="preserve">Reoffer</t>
  </si>
  <si>
    <t xml:space="preserve">The two conversion factors, one per transaction</t>
  </si>
  <si>
    <t xml:space="preserve">An interpolation convention and a choice of averaging window are not obviously comparable. To rank them, both have to arrive in euros.</t>
  </si>
  <si>
    <t xml:space="preserve">The bond's reoffer yield</t>
  </si>
  <si>
    <t xml:space="preserve">quantity</t>
  </si>
  <si>
    <t xml:space="preserve">Reoffer yield</t>
  </si>
  <si>
    <t xml:space="preserve">Yield at the close of the first day</t>
  </si>
  <si>
    <t xml:space="preserve">The cash flows, per 100 of nominal</t>
  </si>
  <si>
    <t xml:space="preserve">year</t>
  </si>
  <si>
    <t xml:space="preserve">cash flow</t>
  </si>
  <si>
    <t xml:space="preserve">discount factor</t>
  </si>
  <si>
    <t xml:space="preserve">present value</t>
  </si>
  <si>
    <t xml:space="preserve">year x present value</t>
  </si>
  <si>
    <t xml:space="preserve">discount factor at day one</t>
  </si>
  <si>
    <t xml:space="preserve">present value at day one</t>
  </si>
  <si>
    <t xml:space="preserve">The two conversion factors</t>
  </si>
  <si>
    <t xml:space="preserve">Reoffer price, per 100</t>
  </si>
  <si>
    <t xml:space="preserve">Price at the close of the first day, per 100</t>
  </si>
  <si>
    <t xml:space="preserve">Annuity factor over the tenor</t>
  </si>
  <si>
    <t xml:space="preserve">Macaulay duration, years</t>
  </si>
  <si>
    <t xml:space="preserve">Modified duration, years</t>
  </si>
  <si>
    <t xml:space="preserve">BOND: present value of one basis point of coupon supplement, EUR</t>
  </si>
  <si>
    <t xml:space="preserve">PLACEMENT: what one euro a share on the reference is worth, EUR</t>
  </si>
  <si>
    <t xml:space="preserve">PLACEMENT: what one cent a share on the reference is worth, EUR</t>
  </si>
  <si>
    <t xml:space="preserve">Two constants, one per transaction. On the bond a basis point is discounted, because the concession is seven annual payments. On the placement no discounting is required, because the discount is delivered in full on settlement.</t>
  </si>
  <si>
    <t xml:space="preserve">The bond, and every convention inside it</t>
  </si>
  <si>
    <t xml:space="preserve">The curve, the concession, the bill, the first day and the other currency.</t>
  </si>
  <si>
    <t xml:space="preserve">The four readings of the secondary curve</t>
  </si>
  <si>
    <t xml:space="preserve">convention</t>
  </si>
  <si>
    <t xml:space="preserve">fair value, bp</t>
  </si>
  <si>
    <t xml:space="preserve">concession, bp</t>
  </si>
  <si>
    <t xml:space="preserve">concession, present value, EUR</t>
  </si>
  <si>
    <t xml:space="preserve">total cost of the issue, EUR</t>
  </si>
  <si>
    <t xml:space="preserve">linear in maturity</t>
  </si>
  <si>
    <t xml:space="preserve">least squares on three points</t>
  </si>
  <si>
    <t xml:space="preserve">linear in the square root of time</t>
  </si>
  <si>
    <t xml:space="preserve">linear in the logarithm of maturity</t>
  </si>
  <si>
    <t xml:space="preserve">The bill under the syndicate's reading</t>
  </si>
  <si>
    <t xml:space="preserve">Underwriting commission, EUR</t>
  </si>
  <si>
    <t xml:space="preserve">Concession, present value, EUR</t>
  </si>
  <si>
    <t xml:space="preserve">Total, EUR</t>
  </si>
  <si>
    <t xml:space="preserve">Uninvoiced share of the total</t>
  </si>
  <si>
    <t xml:space="preserve">Cost per euro raised</t>
  </si>
  <si>
    <t xml:space="preserve">Euro span of the total cost across the four conventions</t>
  </si>
  <si>
    <t xml:space="preserve">The concession added up rather than discounted, EUR</t>
  </si>
  <si>
    <t xml:space="preserve">What the horizon and rate choice is worth, EUR</t>
  </si>
  <si>
    <t xml:space="preserve">The concession discounted at modified duration instead, EUR</t>
  </si>
  <si>
    <t xml:space="preserve">What the discount factor choice is worth, EUR</t>
  </si>
  <si>
    <t xml:space="preserve">What the comparable set choice is worth, EUR</t>
  </si>
  <si>
    <t xml:space="preserve">The same, with the basis-point gap rounded to two decimals as the book converts it, EUR</t>
  </si>
  <si>
    <t xml:space="preserve">The last two lines are the same choice. The book converts a basis-point gap that it has already rounded to two decimals, which is why it prints EUR 8,898 where the unrounded arithmetic gives EUR 9,364. The register carries the unrounded figure.</t>
  </si>
  <si>
    <t xml:space="preserve">The first day</t>
  </si>
  <si>
    <t xml:space="preserve">Tightening on the first day, bp</t>
  </si>
  <si>
    <t xml:space="preserve">Investors' gain, duration approximation, EUR</t>
  </si>
  <si>
    <t xml:space="preserve">Investors' gain, exact repricing, EUR</t>
  </si>
  <si>
    <t xml:space="preserve">Of which convexity: what the repricing method is worth, EUR</t>
  </si>
  <si>
    <t xml:space="preserve">Share of the concession given back on the first day</t>
  </si>
  <si>
    <t xml:space="preserve">Dollar spread over dollar mid-swaps, bp</t>
  </si>
  <si>
    <t xml:space="preserve">Dollar spread after the swap, bp</t>
  </si>
  <si>
    <t xml:space="preserve">Naive comparison, dollar coupon against euro yield, bp</t>
  </si>
  <si>
    <t xml:space="preserve">Comparison after the basis, bp</t>
  </si>
  <si>
    <t xml:space="preserve">Reversal, bp</t>
  </si>
  <si>
    <t xml:space="preserve">Gap between the two swap curves, bp</t>
  </si>
  <si>
    <t xml:space="preserve">Share of the reversal that is the two curves</t>
  </si>
  <si>
    <t xml:space="preserve">Share of the reversal that is the basis</t>
  </si>
  <si>
    <t xml:space="preserve">At a basis of zero, how much cheaper the dollar already is, bp</t>
  </si>
  <si>
    <t xml:space="preserve">Annual saving in dollars, USD</t>
  </si>
  <si>
    <t xml:space="preserve">Present value of that saving: what the base choice is worth</t>
  </si>
  <si>
    <t xml:space="preserve">Shortfall in the amount raised, EUR</t>
  </si>
  <si>
    <t xml:space="preserve">The basis does not reverse the comparison. It widens a gap that was already reversed. The first error is comparing two coupons without bringing each back to its own curve.</t>
  </si>
  <si>
    <t xml:space="preserve">The placement, and every convention inside it</t>
  </si>
  <si>
    <t xml:space="preserve">Four references, one leak, two counterfactuals.</t>
  </si>
  <si>
    <t xml:space="preserve">The four references</t>
  </si>
  <si>
    <t xml:space="preserve">discount</t>
  </si>
  <si>
    <t xml:space="preserve">discount in euros</t>
  </si>
  <si>
    <t xml:space="preserve">What the choice of reference is worth</t>
  </si>
  <si>
    <t xml:space="preserve">Span of the four discounts, percentage points</t>
  </si>
  <si>
    <t xml:space="preserve">Span of the four references in euros: what the choice is worth</t>
  </si>
  <si>
    <t xml:space="preserve">Discount in euros against the lowest reference</t>
  </si>
  <si>
    <t xml:space="preserve">Discount in euros against the highest reference</t>
  </si>
  <si>
    <t xml:space="preserve">The wall-crossing leak, priced two ways</t>
  </si>
  <si>
    <t xml:space="preserve">Reference the announcement quotes, EUR</t>
  </si>
  <si>
    <t xml:space="preserve">Close before the wall-crossing, EUR</t>
  </si>
  <si>
    <t xml:space="preserve">Discount struck against the quoted reference</t>
  </si>
  <si>
    <t xml:space="preserve">Price the same discount would have given off the pre-leak close, EUR</t>
  </si>
  <si>
    <t xml:space="preserve">Cost of the leak, at a constant discount, EUR</t>
  </si>
  <si>
    <t xml:space="preserve">Cost of the leak, at a constant share count, EUR</t>
  </si>
  <si>
    <t xml:space="preserve">What the counterfactual convention is worth</t>
  </si>
  <si>
    <t xml:space="preserve">The bill, and the dilution</t>
  </si>
  <si>
    <t xml:space="preserve">Gross proceeds, EUR</t>
  </si>
  <si>
    <t xml:space="preserve">Commission, EUR</t>
  </si>
  <si>
    <t xml:space="preserve">Placement discount, EUR</t>
  </si>
  <si>
    <t xml:space="preserve">Total cost, EUR</t>
  </si>
  <si>
    <t xml:space="preserve">Dilution</t>
  </si>
  <si>
    <t xml:space="preserve">Shares that would have raised the same proceeds without the leak</t>
  </si>
  <si>
    <t xml:space="preserve">Extra shares the leak cost</t>
  </si>
  <si>
    <t xml:space="preserve">Ratio of the placement's cost per euro to the bond's</t>
  </si>
  <si>
    <t xml:space="preserve">The same ratio on the bond's softest convention</t>
  </si>
  <si>
    <t xml:space="preserve">The last two lines inherit two conventions at once. A figure that inherits more than one convention should never be published as a point.</t>
  </si>
  <si>
    <t xml:space="preserve">The allocation, which is a price set after the price</t>
  </si>
  <si>
    <t xml:space="preserve">The same book, the same day, two ways of serving it.</t>
  </si>
  <si>
    <t xml:space="preserve">The book, and the two allocations</t>
  </si>
  <si>
    <t xml:space="preserve">directed allocation, EUR</t>
  </si>
  <si>
    <t xml:space="preserve">pro rata allocation, EUR</t>
  </si>
  <si>
    <t xml:space="preserve">first-day gain, directed, EUR</t>
  </si>
  <si>
    <t xml:space="preserve">first-day gain, pro rata, EUR</t>
  </si>
  <si>
    <t xml:space="preserve">Total</t>
  </si>
  <si>
    <t xml:space="preserve">What the allocation method is worth</t>
  </si>
  <si>
    <t xml:space="preserve">Resold within thirty days, directed allocation</t>
  </si>
  <si>
    <t xml:space="preserve">Resold within thirty days, pro rata allocation</t>
  </si>
  <si>
    <t xml:space="preserve">The gap, percentage points</t>
  </si>
  <si>
    <t xml:space="preserve">That gap in euros of paper: what the allocation method is worth</t>
  </si>
  <si>
    <t xml:space="preserve">First-day gain held by the two long-term categories, directed, EUR</t>
  </si>
  <si>
    <t xml:space="preserve">The same, pro rata, EUR</t>
  </si>
  <si>
    <t xml:space="preserve">First-day gain moved between categories of investor</t>
  </si>
  <si>
    <t xml:space="preserve">Share of the issue held by those two categories, directed</t>
  </si>
  <si>
    <t xml:space="preserve">The same, pro rata</t>
  </si>
  <si>
    <t xml:space="preserve">Hedge funds' share of the first-day gain, directed, EUR</t>
  </si>
  <si>
    <t xml:space="preserve">Guard: the directed allocation distributes exactly the amount issued, EUR</t>
  </si>
  <si>
    <t xml:space="preserve">Allocation is a pricing decision made after the price is set, by a party with no contractual obligation to explain it, on the basis of retention assumptions that are nowhere published.</t>
  </si>
  <si>
    <t xml:space="preserve">The register, in euros</t>
  </si>
  <si>
    <t xml:space="preserve">One row per convention. The rows are not additive, and there is deliberately no total.</t>
  </si>
  <si>
    <t xml:space="preserve">The register</t>
  </si>
  <si>
    <t xml:space="preserve">the choice</t>
  </si>
  <si>
    <t xml:space="preserve">family</t>
  </si>
  <si>
    <t xml:space="preserve">transaction</t>
  </si>
  <si>
    <t xml:space="preserve">made where</t>
  </si>
  <si>
    <t xml:space="preserve">made by</t>
  </si>
  <si>
    <t xml:space="preserve">the reading that was used</t>
  </si>
  <si>
    <t xml:space="preserve">the alternative a competent analyst would accept</t>
  </si>
  <si>
    <t xml:space="preserve">what the difference is worth, EUR</t>
  </si>
  <si>
    <t xml:space="preserve">second figure, where the row carries one, EUR</t>
  </si>
  <si>
    <t xml:space="preserve">above the fee?</t>
  </si>
  <si>
    <t xml:space="preserve">sign-stable?</t>
  </si>
  <si>
    <t xml:space="preserve">how it was actually chosen, and when</t>
  </si>
  <si>
    <t xml:space="preserve">Reference against which the placement discount is quoted</t>
  </si>
  <si>
    <t xml:space="preserve">selection</t>
  </si>
  <si>
    <t xml:space="preserve">placement</t>
  </si>
  <si>
    <t xml:space="preserve">Drafting of the announcement</t>
  </si>
  <si>
    <t xml:space="preserve">Issuer, on the bookrunner's advice</t>
  </si>
  <si>
    <t xml:space="preserve">The last close, at EUR 42.60</t>
  </si>
  <si>
    <t xml:space="preserve">The thirty-day volume weighted average, at EUR 41.80, or either of the two other traded references</t>
  </si>
  <si>
    <t xml:space="preserve">yes</t>
  </si>
  <si>
    <t xml:space="preserve">Curve against which each currency's cost is measured</t>
  </si>
  <si>
    <t xml:space="preserve">base</t>
  </si>
  <si>
    <t xml:space="preserve">Funding comparison paper</t>
  </si>
  <si>
    <t xml:space="preserve">Treasury</t>
  </si>
  <si>
    <t xml:space="preserve">Each coupon brought back to its own swap curve, then swapped</t>
  </si>
  <si>
    <t xml:space="preserve">The dollar coupon set directly against the euro reoffer yield</t>
  </si>
  <si>
    <t xml:space="preserve">no</t>
  </si>
  <si>
    <t xml:space="preserve">Functional form of the secondary-curve interpolation</t>
  </si>
  <si>
    <t xml:space="preserve">form</t>
  </si>
  <si>
    <t xml:space="preserve">Syndicate's curve model</t>
  </si>
  <si>
    <t xml:space="preserve">Bookrunner</t>
  </si>
  <si>
    <t xml:space="preserve">Linear in maturity between the two bracketing bonds</t>
  </si>
  <si>
    <t xml:space="preserve">Linear in the logarithm of maturity, off the same two bonds</t>
  </si>
  <si>
    <t xml:space="preserve">Counterfactual convention for the wall-crossing leak</t>
  </si>
  <si>
    <t xml:space="preserve">Post-transaction analysis</t>
  </si>
  <si>
    <t xml:space="preserve">Bookrunner or adviser</t>
  </si>
  <si>
    <t xml:space="preserve">The same discount off the pre-leak close, at a constant discount</t>
  </si>
  <si>
    <t xml:space="preserve">The same number of shares at the pre-leak close, at a constant share count</t>
  </si>
  <si>
    <t xml:space="preserve">Whether the concession is discounted, and over what horizon</t>
  </si>
  <si>
    <t xml:space="preserve">horizon and rate</t>
  </si>
  <si>
    <t xml:space="preserve">Pricing note</t>
  </si>
  <si>
    <t xml:space="preserve">Issuer</t>
  </si>
  <si>
    <t xml:space="preserve">Seven annual supplements discounted at the annuity factor of the reoffer yield</t>
  </si>
  <si>
    <t xml:space="preserve">The same seven supplements added up undiscounted</t>
  </si>
  <si>
    <t xml:space="preserve">Allocation method: directed or pro rata</t>
  </si>
  <si>
    <t xml:space="preserve">Allocation call</t>
  </si>
  <si>
    <t xml:space="preserve">Directed, on differentiated service rates</t>
  </si>
  <si>
    <t xml:space="preserve">Pro rata on the book as submitted</t>
  </si>
  <si>
    <t xml:space="preserve">Comparable set: two bracketing bonds or all three</t>
  </si>
  <si>
    <t xml:space="preserve">Curve model</t>
  </si>
  <si>
    <t xml:space="preserve">The two bonds that bracket seven years</t>
  </si>
  <si>
    <t xml:space="preserve">A least-squares line through all three quotations</t>
  </si>
  <si>
    <t xml:space="preserve">Annuity factor or modified duration as the discount factor</t>
  </si>
  <si>
    <t xml:space="preserve">The annuity factor of the reoffer yield over the tenor</t>
  </si>
  <si>
    <t xml:space="preserve">Modified duration of the bond at the reoffer price</t>
  </si>
  <si>
    <t xml:space="preserve">Duration approximation or exact repricing, first-day gain</t>
  </si>
  <si>
    <t xml:space="preserve">Post-trade summary</t>
  </si>
  <si>
    <t xml:space="preserve">Modified duration applied to the market value</t>
  </si>
  <si>
    <t xml:space="preserve">Full repricing of the bond at the day-one yield</t>
  </si>
  <si>
    <t xml:space="preserve">The rows are not additive. Some are costs, some are attributions between lines already inside a total, and two of them belong to different transactions. There is no total row, and adding this column up would be meaningless.</t>
  </si>
  <si>
    <t xml:space="preserve">The last column is blank on purpose. Fill it in from your own records. The empty cells are the finding.</t>
  </si>
  <si>
    <t xml:space="preserve">The escalation threshold</t>
  </si>
  <si>
    <t xml:space="preserve">Underwriting commission on the bond, EUR</t>
  </si>
  <si>
    <t xml:space="preserve">Commission on the placement, EUR</t>
  </si>
  <si>
    <t xml:space="preserve">Rows worth more than the fee of their own transaction</t>
  </si>
  <si>
    <t xml:space="preserve">Largest euro figure in the register</t>
  </si>
  <si>
    <t xml:space="preserve">Smallest euro figure in the register</t>
  </si>
  <si>
    <t xml:space="preserve">The last three rows of the register, together, on the book's rounded reading, EUR</t>
  </si>
  <si>
    <t xml:space="preserve">The placement's discount reference as a multiple of the placement commission</t>
  </si>
  <si>
    <t xml:space="preserve">Any convention worth more than the fee is escalated to the same person who approves the fee, at the same moment, in the same paper. On this bond that rule brings one line to a chief financial officer. On the placement there would have been nothing to argue about at all.</t>
  </si>
  <si>
    <t xml:space="preserve">The three derivations Chapter 16 states explicitly</t>
  </si>
  <si>
    <t xml:space="preserve">derivation</t>
  </si>
  <si>
    <t xml:space="preserve">Span of the four references, EUR 43.45 less EUR 41.80, times 9,500,000 shares</t>
  </si>
  <si>
    <t xml:space="preserve">Total cost read linearly less the same cost read logarithmically, EUR</t>
  </si>
  <si>
    <t xml:space="preserve">The concession added up, EUR 209,375 a year for seven years, less its present value</t>
  </si>
  <si>
    <t xml:space="preserve">The coupon supplement itself, EUR a year</t>
  </si>
  <si>
    <t xml:space="preserve">These are the three figures a sceptical colleague will query, and they are computed here in one line each from the inputs.</t>
  </si>
  <si>
    <t xml:space="preserve">What the register is not</t>
  </si>
  <si>
    <t xml:space="preserve">Rows carrying a euro figure</t>
  </si>
  <si>
    <t xml:space="preserve">The interpolation row as a share of the bond commission</t>
  </si>
  <si>
    <t xml:space="preserve">Nine rows and no total. A figure that adds two of them, such as the reference choice and the interpolation choice at EUR 17,148,880, belongs to no transaction and to no decision. The interpolation row is 84 per cent of the bond's fee, just below the escalation line.</t>
  </si>
  <si>
    <t xml:space="preserve">A convention is answered by naming it. An absence is answered by declaring it.</t>
  </si>
  <si>
    <t xml:space="preserve">Book elasticity, which is not identifiable</t>
  </si>
  <si>
    <t xml:space="preserve">Tightening from guidance to launch, bp</t>
  </si>
  <si>
    <t xml:space="preserve">Attrition in the book over the same move, EUR</t>
  </si>
  <si>
    <t xml:space="preserve">Attrition between launch and reoffer, at no change in spread, EUR</t>
  </si>
  <si>
    <t xml:space="preserve">Therefore attributable to price, at most, EUR</t>
  </si>
  <si>
    <t xml:space="preserve">Apparent sensitivity, EUR a basis point</t>
  </si>
  <si>
    <t xml:space="preserve">Upper bound on the real sensitivity, EUR a basis point</t>
  </si>
  <si>
    <t xml:space="preserve">The other leg of the same transaction, fitted the same way, EUR a basis point</t>
  </si>
  <si>
    <t xml:space="preserve">Extrapolating the apparent sensitivity to the issue size, bp of further tightening</t>
  </si>
  <si>
    <t xml:space="preserve">Where that extrapolation puts the print, bp</t>
  </si>
  <si>
    <t xml:space="preserve">The concession it implies, bp</t>
  </si>
  <si>
    <t xml:space="preserve">Present-value saving it claims, and that was never available, EUR</t>
  </si>
  <si>
    <t xml:space="preserve">Between launch and reoffer the spread did not move at all and the book still lost EUR 100,000,000. The other leg, fitted by the same method, gives a number of the same size with the opposite sign. There is no second value a competent person would defend, so this is not a convention. What can be said is one-sided.</t>
  </si>
  <si>
    <t xml:space="preserve">Chapter 16 prints EUR 6,432,940 for the saving on the last line, having converted a basis-point figure it had already rounded to 21.69. The unrounded arithmetic gives EUR 6,433,628, and the workbook carries that.</t>
  </si>
  <si>
    <t xml:space="preserve">Retention, which is a declared assumption</t>
  </si>
  <si>
    <t xml:space="preserve">retained at thirty days, assumed</t>
  </si>
  <si>
    <t xml:space="preserve">The whole of the gap between the two allocations rests on those four rates, points</t>
  </si>
  <si>
    <t xml:space="preserve">No published measurement of this quantity exists for this population. The only measured study of bond flipping covers the United States, at two days, and only for insurers. Putting a euro value on this row would be dressing an absence as a choice.</t>
  </si>
  <si>
    <t xml:space="preserve">Checks</t>
  </si>
  <si>
    <t xml:space="preserve">Each line sets a figure printed in the book beside the figure this workbook computes.</t>
  </si>
  <si>
    <t xml:space="preserve">Column C carries the figure as the book prints it, at the precision the book prints it. Column D is a live formula over the inputs. The tolerance on each line is half a unit of the last printed digit. If a line reads FAIL, the workbook is wrong, not the book.</t>
  </si>
  <si>
    <t xml:space="preserve">Ch.</t>
  </si>
  <si>
    <t xml:space="preserve">Figure</t>
  </si>
  <si>
    <t xml:space="preserve">Printed</t>
  </si>
  <si>
    <t xml:space="preserve">Workbook</t>
  </si>
  <si>
    <t xml:space="preserve">Difference</t>
  </si>
  <si>
    <t xml:space="preserve">Result</t>
  </si>
  <si>
    <t xml:space="preserve">16</t>
  </si>
  <si>
    <t xml:space="preserve">Register: reference against which the placement discount is quoted, EUR</t>
  </si>
  <si>
    <t xml:space="preserve">Register: curve against which each currency's cost is measured, EUR</t>
  </si>
  <si>
    <t xml:space="preserve">Register: functional form of the interpolation, EUR</t>
  </si>
  <si>
    <t xml:space="preserve">Register: counterfactual convention for the leak, of the total, EUR</t>
  </si>
  <si>
    <t xml:space="preserve">Register: counterfactual convention for the leak, of the attribution, EUR</t>
  </si>
  <si>
    <t xml:space="preserve">Register: whether the concession is discounted, and over what horizon, EUR</t>
  </si>
  <si>
    <t xml:space="preserve">Register: allocation method, first-day gain moved, EUR</t>
  </si>
  <si>
    <t xml:space="preserve">Register: allocation method, paper resold rather than held, EUR</t>
  </si>
  <si>
    <t xml:space="preserve">Register: comparable set, as the book converts it from a rounded 0.03 bp, EUR</t>
  </si>
  <si>
    <t xml:space="preserve">-</t>
  </si>
  <si>
    <t xml:space="preserve">Model: the same row without the rounding, as the register carries it, EUR</t>
  </si>
  <si>
    <t xml:space="preserve">Register: annuity factor or modified duration, EUR</t>
  </si>
  <si>
    <t xml:space="preserve">Register: duration approximation or exact repricing, EUR</t>
  </si>
  <si>
    <t xml:space="preserve">The last three rows of the register together, EUR</t>
  </si>
  <si>
    <t xml:space="preserve">The discount reference as a multiple of the placement commission</t>
  </si>
  <si>
    <t xml:space="preserve">Derivation: span of the four references, EUR</t>
  </si>
  <si>
    <t xml:space="preserve">Derivation: linear reading of the bill less the logarithmic reading, EUR</t>
  </si>
  <si>
    <t xml:space="preserve">Derivation: the concession added up less its present value, EUR</t>
  </si>
  <si>
    <t xml:space="preserve">Derivation: the coupon supplement, EUR a year</t>
  </si>
  <si>
    <t xml:space="preserve">The annuity factor over seven years</t>
  </si>
  <si>
    <t xml:space="preserve">A basis point of coupon supplement, in present value, EUR</t>
  </si>
  <si>
    <t xml:space="preserve">A reference that moves by one euro a share, EUR</t>
  </si>
  <si>
    <t xml:space="preserve">A reference that moves by one cent a share, EUR</t>
  </si>
  <si>
    <t xml:space="preserve">2</t>
  </si>
  <si>
    <t xml:space="preserve">Fair value, linear in maturity, bp</t>
  </si>
  <si>
    <t xml:space="preserve">Concession, linear in maturity, bp</t>
  </si>
  <si>
    <t xml:space="preserve">Fair value, least squares on three points, bp</t>
  </si>
  <si>
    <t xml:space="preserve">Concession, least squares on three points, bp</t>
  </si>
  <si>
    <t xml:space="preserve">Fair value, linear in the square root of time, bp</t>
  </si>
  <si>
    <t xml:space="preserve">Concession, linear in the square root of time, bp</t>
  </si>
  <si>
    <t xml:space="preserve">Fair value, linear in the logarithm of maturity, bp</t>
  </si>
  <si>
    <t xml:space="preserve">Concession, linear in the logarithm of maturity, bp</t>
  </si>
  <si>
    <t xml:space="preserve">7</t>
  </si>
  <si>
    <t xml:space="preserve">Total cost of the bond, EUR</t>
  </si>
  <si>
    <t xml:space="preserve">Total cost of the bond, logarithmic reading, EUR</t>
  </si>
  <si>
    <t xml:space="preserve">Uninvoiced share of the bond's bill</t>
  </si>
  <si>
    <t xml:space="preserve">Cost per euro raised, bond</t>
  </si>
  <si>
    <t xml:space="preserve">4</t>
  </si>
  <si>
    <t xml:space="preserve">5</t>
  </si>
  <si>
    <t xml:space="preserve">Naive comparison, coupon against yield, bp</t>
  </si>
  <si>
    <t xml:space="preserve">Present value of the annual saving, EUR</t>
  </si>
  <si>
    <t xml:space="preserve">13</t>
  </si>
  <si>
    <t xml:space="preserve">Span of the four placement discounts, percentage points</t>
  </si>
  <si>
    <t xml:space="preserve">14</t>
  </si>
  <si>
    <t xml:space="preserve">Gross proceeds of the placement, EUR</t>
  </si>
  <si>
    <t xml:space="preserve">Total cost of the placement, EUR</t>
  </si>
  <si>
    <t xml:space="preserve">Uninvoiced share of the placement's cost</t>
  </si>
  <si>
    <t xml:space="preserve">15</t>
  </si>
  <si>
    <t xml:space="preserve">Cost per euro raised, placement</t>
  </si>
  <si>
    <t xml:space="preserve">9</t>
  </si>
  <si>
    <t xml:space="preserve">Directed allocation, long-only asset managers, EUR</t>
  </si>
  <si>
    <t xml:space="preserve">Pro rata allocation, long-only asset managers, EUR</t>
  </si>
  <si>
    <t xml:space="preserve">Directed allocation, hedge funds, EUR</t>
  </si>
  <si>
    <t xml:space="preserve">Pro rata allocation, hedge funds, EUR</t>
  </si>
  <si>
    <t xml:space="preserve">Resold within thirty days, directed</t>
  </si>
  <si>
    <t xml:space="preserve">Resold within thirty days, pro rata</t>
  </si>
  <si>
    <t xml:space="preserve">The gap between them, percentage points</t>
  </si>
  <si>
    <t xml:space="preserve">18</t>
  </si>
  <si>
    <t xml:space="preserve">Apparent sensitivity of the book, EUR a basis point</t>
  </si>
  <si>
    <t xml:space="preserve">The other leg, fitted the same way, EUR a basis point</t>
  </si>
  <si>
    <t xml:space="preserve">Where the extrapolation puts the print, bp</t>
  </si>
  <si>
    <t xml:space="preserve">Basis points of further tightening the extrapolation claims</t>
  </si>
  <si>
    <t xml:space="preserve">Model: the saving that was never available, unrounded, EUR</t>
  </si>
  <si>
    <t xml:space="preserve">Guard: the directed allocation distributes exactly the amount issued</t>
  </si>
  <si>
    <t xml:space="preserve">Guard: rows of the register worth more than the fee of their own transaction</t>
  </si>
  <si>
    <t xml:space="preserve">Guard: the largest figure in the register is the discount reference, EUR</t>
  </si>
  <si>
    <t xml:space="preserve">Guard: the smallest figure in the register is the repricing method, EUR</t>
  </si>
  <si>
    <t xml:space="preserve">Guard: rows of the register carrying a euro figure</t>
  </si>
  <si>
    <t xml:space="preserve">Checks in this workbook</t>
  </si>
  <si>
    <t xml:space="preserve">Failures</t>
  </si>
</sst>
</file>

<file path=xl/styles.xml><?xml version="1.0" encoding="utf-8"?>
<styleSheet xmlns="http://schemas.openxmlformats.org/spreadsheetml/2006/main">
  <numFmts count="13">
    <numFmt numFmtId="164" formatCode="General"/>
    <numFmt numFmtId="165" formatCode="0.0000;\-0.0000"/>
    <numFmt numFmtId="166" formatCode="0.00;\-0.00"/>
    <numFmt numFmtId="167" formatCode="#,##0;\-#,##0"/>
    <numFmt numFmtId="168" formatCode="0"/>
    <numFmt numFmtId="169" formatCode="0.0000%;\-0.0000%"/>
    <numFmt numFmtId="170" formatCode="0.0000"/>
    <numFmt numFmtId="171" formatCode="0.00%;\-0.00%"/>
    <numFmt numFmtId="172" formatCode="0.00000;\-0.00000"/>
    <numFmt numFmtId="173" formatCode="0.00000000"/>
    <numFmt numFmtId="174" formatCode="#,##0.00;\-#,##0.00"/>
    <numFmt numFmtId="175" formatCode="0.00000001"/>
    <numFmt numFmtId="176" formatCode="@"/>
  </numFmts>
  <fonts count="12">
    <font>
      <sz val="11"/>
      <color theme="1"/>
      <name val="Calibri"/>
      <family val="2"/>
      <charset val="1"/>
    </font>
    <font>
      <sz val="10"/>
      <name val="Arial"/>
      <family val="0"/>
    </font>
    <font>
      <sz val="10"/>
      <name val="Arial"/>
      <family val="0"/>
    </font>
    <font>
      <sz val="10"/>
      <name val="Arial"/>
      <family val="0"/>
    </font>
    <font>
      <b val="true"/>
      <sz val="16"/>
      <color rgb="FF1F4E5F"/>
      <name val="Calibri"/>
      <family val="0"/>
      <charset val="1"/>
    </font>
    <font>
      <sz val="10"/>
      <color rgb="FF5A6A70"/>
      <name val="Calibri"/>
      <family val="0"/>
      <charset val="1"/>
    </font>
    <font>
      <b val="true"/>
      <sz val="12"/>
      <color rgb="FF1F4E5F"/>
      <name val="Calibri"/>
      <family val="0"/>
      <charset val="1"/>
    </font>
    <font>
      <sz val="11"/>
      <color rgb="FF1A1A1A"/>
      <name val="Calibri"/>
      <family val="0"/>
      <charset val="1"/>
    </font>
    <font>
      <b val="true"/>
      <sz val="10"/>
      <color rgb="FFFFFFFF"/>
      <name val="Calibri"/>
      <family val="0"/>
      <charset val="1"/>
    </font>
    <font>
      <b val="true"/>
      <sz val="11"/>
      <color rgb="FF0B4FA0"/>
      <name val="Calibri"/>
      <family val="0"/>
      <charset val="1"/>
    </font>
    <font>
      <sz val="9"/>
      <color rgb="FF5A6A70"/>
      <name val="Calibri"/>
      <family val="0"/>
      <charset val="1"/>
    </font>
    <font>
      <b val="true"/>
      <sz val="11"/>
      <color rgb="FF1A1A1A"/>
      <name val="Calibri"/>
      <family val="0"/>
      <charset val="1"/>
    </font>
  </fonts>
  <fills count="4">
    <fill>
      <patternFill patternType="none"/>
    </fill>
    <fill>
      <patternFill patternType="gray125"/>
    </fill>
    <fill>
      <patternFill patternType="solid">
        <fgColor rgb="FF1F4E5F"/>
        <bgColor rgb="FF0B4FA0"/>
      </patternFill>
    </fill>
    <fill>
      <patternFill patternType="solid">
        <fgColor rgb="FFFFF6D8"/>
        <bgColor rgb="FFFFFFFF"/>
      </patternFill>
    </fill>
  </fills>
  <borders count="3">
    <border diagonalUp="false" diagonalDown="false">
      <left/>
      <right/>
      <top/>
      <bottom/>
      <diagonal/>
    </border>
    <border diagonalUp="false" diagonalDown="false">
      <left/>
      <right/>
      <top/>
      <bottom style="thin">
        <color rgb="FFBFCBD1"/>
      </bottom>
      <diagonal/>
    </border>
    <border diagonalUp="false" diagonalDown="false">
      <left/>
      <right/>
      <top style="thin">
        <color rgb="FFBFCBD1"/>
      </top>
      <bottom style="thin">
        <color rgb="FFBFCBD1"/>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1"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2" borderId="2" xfId="0" applyFont="true" applyBorder="true" applyAlignment="true" applyProtection="false">
      <alignment horizontal="left" vertical="bottom" textRotation="0" wrapText="true" indent="0" shrinkToFit="false"/>
      <protection locked="true" hidden="false"/>
    </xf>
    <xf numFmtId="164" fontId="8" fillId="2" borderId="2" xfId="0" applyFont="true" applyBorder="true" applyAlignment="true" applyProtection="false">
      <alignment horizontal="right" vertical="bottom" textRotation="0" wrapText="true" indent="0" shrinkToFit="false"/>
      <protection locked="true" hidden="false"/>
    </xf>
    <xf numFmtId="164" fontId="9" fillId="3" borderId="2" xfId="0" applyFont="true" applyBorder="true" applyAlignment="false" applyProtection="false">
      <alignment horizontal="general" vertical="bottom" textRotation="0" wrapText="false" indent="0" shrinkToFit="false"/>
      <protection locked="true" hidden="false"/>
    </xf>
    <xf numFmtId="165" fontId="9" fillId="3" borderId="2" xfId="0" applyFont="true" applyBorder="true" applyAlignment="false" applyProtection="false">
      <alignment horizontal="general" vertical="bottom" textRotation="0" wrapText="false" indent="0" shrinkToFit="false"/>
      <protection locked="true" hidden="false"/>
    </xf>
    <xf numFmtId="166" fontId="9" fillId="3" borderId="2"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7" fontId="9" fillId="3" borderId="2" xfId="0" applyFont="true" applyBorder="true" applyAlignment="false" applyProtection="false">
      <alignment horizontal="general" vertical="bottom" textRotation="0" wrapText="false" indent="0" shrinkToFit="false"/>
      <protection locked="true" hidden="false"/>
    </xf>
    <xf numFmtId="168" fontId="9" fillId="3" borderId="2" xfId="0" applyFont="true" applyBorder="true" applyAlignment="false" applyProtection="false">
      <alignment horizontal="general" vertical="bottom" textRotation="0" wrapText="false" indent="0" shrinkToFit="false"/>
      <protection locked="true" hidden="false"/>
    </xf>
    <xf numFmtId="169" fontId="9" fillId="3" borderId="2" xfId="0" applyFont="true" applyBorder="tru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70" fontId="9" fillId="3" borderId="2" xfId="0" applyFont="true" applyBorder="true" applyAlignment="false" applyProtection="false">
      <alignment horizontal="general" vertical="bottom" textRotation="0" wrapText="false" indent="0" shrinkToFit="false"/>
      <protection locked="true" hidden="false"/>
    </xf>
    <xf numFmtId="171" fontId="9" fillId="3" borderId="2" xfId="0" applyFont="true" applyBorder="true" applyAlignment="false" applyProtection="false">
      <alignment horizontal="general" vertical="bottom" textRotation="0" wrapText="false" indent="0" shrinkToFit="false"/>
      <protection locked="true" hidden="false"/>
    </xf>
    <xf numFmtId="169" fontId="11" fillId="0" borderId="0" xfId="0" applyFont="true" applyBorder="false" applyAlignment="false" applyProtection="false">
      <alignment horizontal="general" vertical="bottom" textRotation="0" wrapText="false" indent="0" shrinkToFit="false"/>
      <protection locked="true" hidden="false"/>
    </xf>
    <xf numFmtId="169" fontId="7" fillId="0" borderId="0" xfId="0" applyFont="true" applyBorder="false" applyAlignment="false" applyProtection="false">
      <alignment horizontal="general" vertical="bottom" textRotation="0" wrapText="false" indent="0" shrinkToFit="false"/>
      <protection locked="true" hidden="false"/>
    </xf>
    <xf numFmtId="168" fontId="7" fillId="0" borderId="0" xfId="0" applyFont="true" applyBorder="false" applyAlignment="false" applyProtection="false">
      <alignment horizontal="general" vertical="bottom" textRotation="0" wrapText="false" indent="0" shrinkToFit="false"/>
      <protection locked="true" hidden="false"/>
    </xf>
    <xf numFmtId="172" fontId="7" fillId="0" borderId="0" xfId="0" applyFont="true" applyBorder="false" applyAlignment="false" applyProtection="false">
      <alignment horizontal="general" vertical="bottom" textRotation="0" wrapText="false" indent="0" shrinkToFit="false"/>
      <protection locked="true" hidden="false"/>
    </xf>
    <xf numFmtId="173" fontId="7" fillId="0" borderId="0" xfId="0" applyFont="true" applyBorder="false" applyAlignment="false" applyProtection="false">
      <alignment horizontal="general" vertical="bottom" textRotation="0" wrapText="false" indent="0" shrinkToFit="false"/>
      <protection locked="true" hidden="false"/>
    </xf>
    <xf numFmtId="172" fontId="11" fillId="0" borderId="0" xfId="0" applyFont="true" applyBorder="false" applyAlignment="false" applyProtection="false">
      <alignment horizontal="general" vertical="bottom" textRotation="0" wrapText="false" indent="0" shrinkToFit="false"/>
      <protection locked="true" hidden="false"/>
    </xf>
    <xf numFmtId="174" fontId="11" fillId="0" borderId="0" xfId="0" applyFont="true" applyBorder="false" applyAlignment="false" applyProtection="false">
      <alignment horizontal="general" vertical="bottom" textRotation="0" wrapText="false" indent="0" shrinkToFit="false"/>
      <protection locked="true" hidden="false"/>
    </xf>
    <xf numFmtId="167" fontId="11" fillId="0" borderId="0" xfId="0" applyFont="true" applyBorder="false" applyAlignment="false" applyProtection="false">
      <alignment horizontal="general" vertical="bottom" textRotation="0" wrapText="false" indent="0" shrinkToFit="false"/>
      <protection locked="true" hidden="false"/>
    </xf>
    <xf numFmtId="167" fontId="7" fillId="0" borderId="0" xfId="0" applyFont="true" applyBorder="false" applyAlignment="false" applyProtection="false">
      <alignment horizontal="general" vertical="bottom" textRotation="0" wrapText="false" indent="0" shrinkToFit="false"/>
      <protection locked="true" hidden="false"/>
    </xf>
    <xf numFmtId="165" fontId="7" fillId="0" borderId="0" xfId="0" applyFont="true" applyBorder="false" applyAlignment="false" applyProtection="false">
      <alignment horizontal="general" vertical="bottom" textRotation="0" wrapText="false" indent="0" shrinkToFit="false"/>
      <protection locked="true" hidden="false"/>
    </xf>
    <xf numFmtId="171" fontId="7" fillId="0" borderId="0" xfId="0" applyFont="true" applyBorder="false" applyAlignment="false" applyProtection="false">
      <alignment horizontal="general" vertical="bottom" textRotation="0" wrapText="false" indent="0" shrinkToFit="false"/>
      <protection locked="true" hidden="false"/>
    </xf>
    <xf numFmtId="166" fontId="7" fillId="0" borderId="0" xfId="0" applyFont="true" applyBorder="false" applyAlignment="false" applyProtection="false">
      <alignment horizontal="general" vertical="bottom" textRotation="0" wrapText="false" indent="0" shrinkToFit="false"/>
      <protection locked="true" hidden="false"/>
    </xf>
    <xf numFmtId="166" fontId="11" fillId="0" borderId="0" xfId="0" applyFont="true" applyBorder="false" applyAlignment="false" applyProtection="false">
      <alignment horizontal="general" vertical="bottom" textRotation="0" wrapText="false" indent="0" shrinkToFit="false"/>
      <protection locked="true" hidden="false"/>
    </xf>
    <xf numFmtId="170" fontId="7" fillId="0" borderId="0" xfId="0" applyFont="true" applyBorder="false" applyAlignment="false" applyProtection="false">
      <alignment horizontal="general" vertical="bottom" textRotation="0" wrapText="false" indent="0" shrinkToFit="false"/>
      <protection locked="true" hidden="false"/>
    </xf>
    <xf numFmtId="170" fontId="11" fillId="0" borderId="0" xfId="0" applyFont="true" applyBorder="false" applyAlignment="false" applyProtection="false">
      <alignment horizontal="general" vertical="bottom" textRotation="0" wrapText="false" indent="0" shrinkToFit="false"/>
      <protection locked="true" hidden="false"/>
    </xf>
    <xf numFmtId="165" fontId="11"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75" fontId="7" fillId="0" borderId="0" xfId="0" applyFont="true" applyBorder="false" applyAlignment="false" applyProtection="false">
      <alignment horizontal="general" vertical="bottom" textRotation="0" wrapText="false" indent="0" shrinkToFit="false"/>
      <protection locked="true" hidden="false"/>
    </xf>
    <xf numFmtId="176" fontId="7" fillId="0" borderId="0" xfId="0" applyFont="true" applyBorder="false" applyAlignment="false" applyProtection="false">
      <alignment horizontal="general" vertical="bottom" textRotation="0" wrapText="false" indent="0" shrinkToFit="false"/>
      <protection locked="true" hidden="false"/>
    </xf>
    <xf numFmtId="176" fontId="11" fillId="0" borderId="0" xfId="0" applyFont="true" applyBorder="false" applyAlignment="false" applyProtection="false">
      <alignment horizontal="general" vertical="bottom" textRotation="0" wrapText="false" indent="0" shrinkToFit="false"/>
      <protection locked="true" hidden="false"/>
    </xf>
    <xf numFmtId="174" fontId="7"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7">
    <dxf>
      <fill>
        <patternFill patternType="solid">
          <fgColor rgb="FF1F4E5F"/>
          <bgColor rgb="FF000000"/>
        </patternFill>
      </fill>
    </dxf>
    <dxf>
      <fill>
        <patternFill patternType="solid">
          <bgColor rgb="FF000000"/>
        </patternFill>
      </fill>
    </dxf>
    <dxf>
      <fill>
        <patternFill patternType="solid">
          <fgColor rgb="FF1A1A1A"/>
          <bgColor rgb="FF000000"/>
        </patternFill>
      </fill>
    </dxf>
    <dxf>
      <fill>
        <patternFill patternType="solid">
          <fgColor rgb="FFFFFFFF"/>
          <bgColor rgb="FF000000"/>
        </patternFill>
      </fill>
    </dxf>
    <dxf>
      <fill>
        <patternFill patternType="solid">
          <fgColor rgb="FF000000"/>
          <bgColor rgb="FF000000"/>
        </patternFill>
      </fill>
    </dxf>
    <dxf>
      <fill>
        <patternFill patternType="solid">
          <fgColor rgb="FFFFF6D8"/>
          <bgColor rgb="FF000000"/>
        </patternFill>
      </fill>
    </dxf>
    <dxf>
      <fill>
        <patternFill patternType="solid">
          <fgColor rgb="FF0B4FA0"/>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CBD1"/>
      <rgbColor rgb="FF808080"/>
      <rgbColor rgb="FF9999FF"/>
      <rgbColor rgb="FF993366"/>
      <rgbColor rgb="FFFFF6D8"/>
      <rgbColor rgb="FFCCFFFF"/>
      <rgbColor rgb="FF660066"/>
      <rgbColor rgb="FFFF8080"/>
      <rgbColor rgb="FF0B4FA0"/>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A6A70"/>
      <rgbColor rgb="FF969696"/>
      <rgbColor rgb="FF1F4E5F"/>
      <rgbColor rgb="FF339966"/>
      <rgbColor rgb="FF003300"/>
      <rgbColor rgb="FF333300"/>
      <rgbColor rgb="FF993300"/>
      <rgbColor rgb="FF993366"/>
      <rgbColor rgb="FF333399"/>
      <rgbColor rgb="FF1A1A1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7.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31"/>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12"/>
  </cols>
  <sheetData>
    <row r="1" customFormat="false" ht="19.7" hidden="false" customHeight="false" outlineLevel="0" collapsed="false">
      <c r="A1" s="1" t="s">
        <v>0</v>
      </c>
    </row>
    <row r="2" customFormat="false" ht="15" hidden="false" customHeight="false" outlineLevel="0" collapsed="false">
      <c r="A2" s="2" t="s">
        <v>1</v>
      </c>
    </row>
    <row r="5" customFormat="false" ht="15" hidden="false" customHeight="false" outlineLevel="0" collapsed="false">
      <c r="A5" s="3" t="s">
        <v>2</v>
      </c>
    </row>
    <row r="7" customFormat="false" ht="55.2" hidden="false" customHeight="false" outlineLevel="0" collapsed="false">
      <c r="A7" s="4" t="s">
        <v>3</v>
      </c>
    </row>
    <row r="9" customFormat="false" ht="15" hidden="false" customHeight="false" outlineLevel="0" collapsed="false">
      <c r="A9" s="3" t="s">
        <v>4</v>
      </c>
    </row>
    <row r="11" customFormat="false" ht="55.2" hidden="false" customHeight="false" outlineLevel="0" collapsed="false">
      <c r="A11" s="4" t="s">
        <v>5</v>
      </c>
    </row>
    <row r="13" customFormat="false" ht="15" hidden="false" customHeight="false" outlineLevel="0" collapsed="false">
      <c r="A13" s="3" t="s">
        <v>6</v>
      </c>
    </row>
    <row r="15" customFormat="false" ht="55.2" hidden="false" customHeight="false" outlineLevel="0" collapsed="false">
      <c r="A15" s="4" t="s">
        <v>7</v>
      </c>
    </row>
    <row r="17" customFormat="false" ht="15" hidden="false" customHeight="false" outlineLevel="0" collapsed="false">
      <c r="A17" s="3" t="s">
        <v>8</v>
      </c>
    </row>
    <row r="19" customFormat="false" ht="41.75" hidden="false" customHeight="false" outlineLevel="0" collapsed="false">
      <c r="A19" s="4" t="s">
        <v>9</v>
      </c>
    </row>
    <row r="21" customFormat="false" ht="15" hidden="false" customHeight="false" outlineLevel="0" collapsed="false">
      <c r="A21" s="3" t="s">
        <v>10</v>
      </c>
    </row>
    <row r="23" customFormat="false" ht="55.2" hidden="false" customHeight="false" outlineLevel="0" collapsed="false">
      <c r="A23" s="4" t="s">
        <v>11</v>
      </c>
    </row>
    <row r="25" customFormat="false" ht="15" hidden="false" customHeight="false" outlineLevel="0" collapsed="false">
      <c r="A25" s="3" t="s">
        <v>12</v>
      </c>
    </row>
    <row r="27" customFormat="false" ht="28.35" hidden="false" customHeight="false" outlineLevel="0" collapsed="false">
      <c r="A27" s="4" t="s">
        <v>13</v>
      </c>
    </row>
    <row r="29" customFormat="false" ht="15" hidden="false" customHeight="false" outlineLevel="0" collapsed="false">
      <c r="A29" s="3" t="s">
        <v>14</v>
      </c>
    </row>
    <row r="31" customFormat="false" ht="55.2" hidden="false" customHeight="false" outlineLevel="0" collapsed="false">
      <c r="A31" s="4" t="s">
        <v>15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6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60"/>
    <col collapsed="false" customWidth="true" hidden="false" outlineLevel="0" max="5" min="2" style="0" width="20"/>
  </cols>
  <sheetData>
    <row r="1" customFormat="false" ht="19.7" hidden="false" customHeight="false" outlineLevel="0" collapsed="false">
      <c r="A1" s="1" t="s">
        <v>16</v>
      </c>
    </row>
    <row r="2" customFormat="false" ht="15" hidden="false" customHeight="false" outlineLevel="0" collapsed="false">
      <c r="A2" s="2" t="s">
        <v>17</v>
      </c>
    </row>
    <row r="5" customFormat="false" ht="15" hidden="false" customHeight="false" outlineLevel="0" collapsed="false">
      <c r="A5" s="3" t="s">
        <v>18</v>
      </c>
    </row>
    <row r="7" customFormat="false" ht="23.85" hidden="false" customHeight="false" outlineLevel="0" collapsed="false">
      <c r="A7" s="5" t="s">
        <v>19</v>
      </c>
      <c r="B7" s="6" t="s">
        <v>20</v>
      </c>
      <c r="C7" s="6" t="s">
        <v>21</v>
      </c>
    </row>
    <row r="8" customFormat="false" ht="15" hidden="false" customHeight="false" outlineLevel="0" collapsed="false">
      <c r="A8" s="7" t="s">
        <v>22</v>
      </c>
      <c r="B8" s="8" t="n">
        <v>1.58</v>
      </c>
      <c r="C8" s="9" t="n">
        <v>62</v>
      </c>
    </row>
    <row r="9" customFormat="false" ht="15" hidden="false" customHeight="false" outlineLevel="0" collapsed="false">
      <c r="A9" s="7" t="s">
        <v>23</v>
      </c>
      <c r="B9" s="8" t="n">
        <v>4.12</v>
      </c>
      <c r="C9" s="9" t="n">
        <v>88</v>
      </c>
    </row>
    <row r="10" customFormat="false" ht="15" hidden="false" customHeight="false" outlineLevel="0" collapsed="false">
      <c r="A10" s="7" t="s">
        <v>24</v>
      </c>
      <c r="B10" s="8" t="n">
        <v>9.24</v>
      </c>
      <c r="C10" s="9" t="n">
        <v>141</v>
      </c>
    </row>
    <row r="12" customFormat="false" ht="15" hidden="false" customHeight="false" outlineLevel="0" collapsed="false">
      <c r="A12" s="3" t="s">
        <v>25</v>
      </c>
    </row>
    <row r="14" customFormat="false" ht="15" hidden="false" customHeight="false" outlineLevel="0" collapsed="false">
      <c r="A14" s="5" t="s">
        <v>26</v>
      </c>
      <c r="B14" s="6" t="s">
        <v>27</v>
      </c>
    </row>
    <row r="15" customFormat="false" ht="15" hidden="false" customHeight="false" outlineLevel="0" collapsed="false">
      <c r="A15" s="10" t="s">
        <v>28</v>
      </c>
      <c r="B15" s="11" t="n">
        <v>500000000</v>
      </c>
    </row>
    <row r="16" customFormat="false" ht="15" hidden="false" customHeight="false" outlineLevel="0" collapsed="false">
      <c r="A16" s="10" t="s">
        <v>29</v>
      </c>
      <c r="B16" s="8" t="n">
        <v>7</v>
      </c>
    </row>
    <row r="17" customFormat="false" ht="15" hidden="false" customHeight="false" outlineLevel="0" collapsed="false">
      <c r="A17" s="10" t="s">
        <v>30</v>
      </c>
      <c r="B17" s="9" t="n">
        <v>122</v>
      </c>
    </row>
    <row r="18" customFormat="false" ht="15" hidden="false" customHeight="false" outlineLevel="0" collapsed="false">
      <c r="A18" s="10" t="s">
        <v>31</v>
      </c>
      <c r="B18" s="12" t="n">
        <v>7</v>
      </c>
    </row>
    <row r="19" customFormat="false" ht="15" hidden="false" customHeight="false" outlineLevel="0" collapsed="false">
      <c r="A19" s="10" t="s">
        <v>32</v>
      </c>
      <c r="B19" s="13" t="n">
        <v>0.0425</v>
      </c>
    </row>
    <row r="20" customFormat="false" ht="15" hidden="false" customHeight="false" outlineLevel="0" collapsed="false">
      <c r="A20" s="10" t="s">
        <v>33</v>
      </c>
      <c r="B20" s="13" t="n">
        <v>0.031</v>
      </c>
    </row>
    <row r="21" customFormat="false" ht="15" hidden="false" customHeight="false" outlineLevel="0" collapsed="false">
      <c r="A21" s="10" t="s">
        <v>34</v>
      </c>
      <c r="B21" s="9" t="n">
        <v>35</v>
      </c>
    </row>
    <row r="22" customFormat="false" ht="15" hidden="false" customHeight="false" outlineLevel="0" collapsed="false">
      <c r="A22" s="10" t="s">
        <v>35</v>
      </c>
      <c r="B22" s="11" t="n">
        <v>620000</v>
      </c>
    </row>
    <row r="23" customFormat="false" ht="15" hidden="false" customHeight="false" outlineLevel="0" collapsed="false">
      <c r="A23" s="10" t="s">
        <v>36</v>
      </c>
      <c r="B23" s="9" t="n">
        <v>118.5</v>
      </c>
    </row>
    <row r="25" customFormat="false" ht="15" hidden="false" customHeight="false" outlineLevel="0" collapsed="false">
      <c r="A25" s="3" t="s">
        <v>37</v>
      </c>
    </row>
    <row r="27" customFormat="false" ht="15" hidden="false" customHeight="false" outlineLevel="0" collapsed="false">
      <c r="A27" s="5" t="s">
        <v>26</v>
      </c>
      <c r="B27" s="6" t="s">
        <v>27</v>
      </c>
    </row>
    <row r="28" customFormat="false" ht="15" hidden="false" customHeight="false" outlineLevel="0" collapsed="false">
      <c r="A28" s="10" t="s">
        <v>38</v>
      </c>
      <c r="B28" s="11" t="n">
        <v>300000000</v>
      </c>
    </row>
    <row r="29" customFormat="false" ht="15" hidden="false" customHeight="false" outlineLevel="0" collapsed="false">
      <c r="A29" s="10" t="s">
        <v>39</v>
      </c>
      <c r="B29" s="13" t="n">
        <v>0.0518</v>
      </c>
    </row>
    <row r="30" customFormat="false" ht="15" hidden="false" customHeight="false" outlineLevel="0" collapsed="false">
      <c r="A30" s="10" t="s">
        <v>40</v>
      </c>
      <c r="B30" s="13" t="n">
        <v>0.041</v>
      </c>
    </row>
    <row r="31" customFormat="false" ht="15" hidden="false" customHeight="false" outlineLevel="0" collapsed="false">
      <c r="A31" s="10" t="s">
        <v>41</v>
      </c>
      <c r="B31" s="9" t="n">
        <v>-18</v>
      </c>
    </row>
    <row r="33" customFormat="false" ht="15" hidden="false" customHeight="false" outlineLevel="0" collapsed="false">
      <c r="A33" s="14" t="s">
        <v>42</v>
      </c>
    </row>
    <row r="36" customFormat="false" ht="15" hidden="false" customHeight="false" outlineLevel="0" collapsed="false">
      <c r="A36" s="3" t="s">
        <v>43</v>
      </c>
    </row>
    <row r="38" customFormat="false" ht="15" hidden="false" customHeight="false" outlineLevel="0" collapsed="false">
      <c r="A38" s="5" t="s">
        <v>26</v>
      </c>
      <c r="B38" s="6" t="s">
        <v>27</v>
      </c>
    </row>
    <row r="39" customFormat="false" ht="15" hidden="false" customHeight="false" outlineLevel="0" collapsed="false">
      <c r="A39" s="10" t="s">
        <v>44</v>
      </c>
      <c r="B39" s="11" t="n">
        <v>118000000</v>
      </c>
    </row>
    <row r="40" customFormat="false" ht="15" hidden="false" customHeight="false" outlineLevel="0" collapsed="false">
      <c r="A40" s="10" t="s">
        <v>45</v>
      </c>
      <c r="B40" s="11" t="n">
        <v>9500000</v>
      </c>
    </row>
    <row r="41" customFormat="false" ht="15" hidden="false" customHeight="false" outlineLevel="0" collapsed="false">
      <c r="A41" s="10" t="s">
        <v>46</v>
      </c>
      <c r="B41" s="15" t="n">
        <v>40.55</v>
      </c>
    </row>
    <row r="42" customFormat="false" ht="15" hidden="false" customHeight="false" outlineLevel="0" collapsed="false">
      <c r="A42" s="10" t="s">
        <v>47</v>
      </c>
      <c r="B42" s="13" t="n">
        <v>0.011</v>
      </c>
    </row>
    <row r="44" customFormat="false" ht="15" hidden="false" customHeight="false" outlineLevel="0" collapsed="false">
      <c r="A44" s="5" t="s">
        <v>48</v>
      </c>
      <c r="B44" s="6" t="s">
        <v>49</v>
      </c>
    </row>
    <row r="45" customFormat="false" ht="15" hidden="false" customHeight="false" outlineLevel="0" collapsed="false">
      <c r="A45" s="7" t="s">
        <v>50</v>
      </c>
      <c r="B45" s="15" t="n">
        <v>41.8</v>
      </c>
    </row>
    <row r="46" customFormat="false" ht="15" hidden="false" customHeight="false" outlineLevel="0" collapsed="false">
      <c r="A46" s="7" t="s">
        <v>51</v>
      </c>
      <c r="B46" s="15" t="n">
        <v>42.6</v>
      </c>
    </row>
    <row r="47" customFormat="false" ht="15" hidden="false" customHeight="false" outlineLevel="0" collapsed="false">
      <c r="A47" s="7" t="s">
        <v>52</v>
      </c>
      <c r="B47" s="15" t="n">
        <v>43.12</v>
      </c>
    </row>
    <row r="48" customFormat="false" ht="15" hidden="false" customHeight="false" outlineLevel="0" collapsed="false">
      <c r="A48" s="7" t="s">
        <v>53</v>
      </c>
      <c r="B48" s="15" t="n">
        <v>43.45</v>
      </c>
    </row>
    <row r="49" customFormat="false" ht="15" hidden="false" customHeight="false" outlineLevel="0" collapsed="false">
      <c r="A49" s="10" t="s">
        <v>54</v>
      </c>
      <c r="B49" s="12" t="n">
        <v>2</v>
      </c>
    </row>
    <row r="50" customFormat="false" ht="15" hidden="false" customHeight="false" outlineLevel="0" collapsed="false">
      <c r="A50" s="10" t="s">
        <v>55</v>
      </c>
      <c r="B50" s="12" t="n">
        <v>4</v>
      </c>
    </row>
    <row r="52" customFormat="false" ht="15" hidden="false" customHeight="false" outlineLevel="0" collapsed="false">
      <c r="A52" s="3" t="s">
        <v>56</v>
      </c>
    </row>
    <row r="54" customFormat="false" ht="15" hidden="false" customHeight="false" outlineLevel="0" collapsed="false">
      <c r="A54" s="5" t="s">
        <v>57</v>
      </c>
      <c r="B54" s="6" t="s">
        <v>58</v>
      </c>
      <c r="C54" s="6" t="s">
        <v>59</v>
      </c>
      <c r="D54" s="6" t="s">
        <v>60</v>
      </c>
    </row>
    <row r="55" customFormat="false" ht="15" hidden="false" customHeight="false" outlineLevel="0" collapsed="false">
      <c r="A55" s="7" t="s">
        <v>61</v>
      </c>
      <c r="B55" s="11" t="n">
        <v>1420000000</v>
      </c>
      <c r="C55" s="16" t="n">
        <v>1</v>
      </c>
      <c r="D55" s="16" t="n">
        <v>0.94</v>
      </c>
    </row>
    <row r="56" customFormat="false" ht="15" hidden="false" customHeight="false" outlineLevel="0" collapsed="false">
      <c r="A56" s="7" t="s">
        <v>62</v>
      </c>
      <c r="B56" s="11" t="n">
        <v>610000000</v>
      </c>
      <c r="C56" s="16" t="n">
        <v>1</v>
      </c>
      <c r="D56" s="16" t="n">
        <v>0.97</v>
      </c>
    </row>
    <row r="57" customFormat="false" ht="15" hidden="false" customHeight="false" outlineLevel="0" collapsed="false">
      <c r="A57" s="7" t="s">
        <v>63</v>
      </c>
      <c r="B57" s="11" t="n">
        <v>380000000</v>
      </c>
      <c r="C57" s="16" t="n">
        <v>0.55</v>
      </c>
      <c r="D57" s="16" t="n">
        <v>0.88</v>
      </c>
    </row>
    <row r="58" customFormat="false" ht="15" hidden="false" customHeight="false" outlineLevel="0" collapsed="false">
      <c r="A58" s="7" t="s">
        <v>64</v>
      </c>
      <c r="B58" s="11" t="n">
        <v>440000000</v>
      </c>
      <c r="C58" s="16" t="n">
        <v>0.15</v>
      </c>
      <c r="D58" s="16" t="n">
        <v>0.21</v>
      </c>
    </row>
    <row r="60" customFormat="false" ht="15" hidden="false" customHeight="false" outlineLevel="0" collapsed="false">
      <c r="A60" s="14" t="s">
        <v>65</v>
      </c>
    </row>
    <row r="63" customFormat="false" ht="15" hidden="false" customHeight="false" outlineLevel="0" collapsed="false">
      <c r="A63" s="3" t="s">
        <v>66</v>
      </c>
    </row>
    <row r="65" customFormat="false" ht="15" hidden="false" customHeight="false" outlineLevel="0" collapsed="false">
      <c r="A65" s="5" t="s">
        <v>67</v>
      </c>
      <c r="B65" s="6" t="s">
        <v>68</v>
      </c>
      <c r="C65" s="6" t="s">
        <v>69</v>
      </c>
    </row>
    <row r="66" customFormat="false" ht="15" hidden="false" customHeight="false" outlineLevel="0" collapsed="false">
      <c r="A66" s="7" t="s">
        <v>70</v>
      </c>
      <c r="B66" s="9" t="n">
        <v>145</v>
      </c>
      <c r="C66" s="11" t="n">
        <v>1750000000</v>
      </c>
    </row>
    <row r="67" customFormat="false" ht="15" hidden="false" customHeight="false" outlineLevel="0" collapsed="false">
      <c r="A67" s="7" t="s">
        <v>71</v>
      </c>
      <c r="B67" s="9" t="n">
        <v>128</v>
      </c>
      <c r="C67" s="11" t="n">
        <v>3600000000</v>
      </c>
    </row>
    <row r="68" customFormat="false" ht="15" hidden="false" customHeight="false" outlineLevel="0" collapsed="false">
      <c r="A68" s="7" t="s">
        <v>72</v>
      </c>
      <c r="B68" s="9" t="n">
        <v>122</v>
      </c>
      <c r="C68" s="11" t="n">
        <v>2950000000</v>
      </c>
    </row>
    <row r="69" customFormat="false" ht="15" hidden="false" customHeight="false" outlineLevel="0" collapsed="false">
      <c r="A69" s="7" t="s">
        <v>73</v>
      </c>
      <c r="B69" s="9" t="n">
        <v>122</v>
      </c>
      <c r="C69" s="11" t="n">
        <v>2850000000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4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58"/>
    <col collapsed="false" customWidth="true" hidden="false" outlineLevel="0" max="2" min="2" style="0" width="20"/>
    <col collapsed="false" customWidth="true" hidden="false" outlineLevel="0" max="4" min="3" style="0" width="18"/>
    <col collapsed="false" customWidth="true" hidden="false" outlineLevel="0" max="5" min="5" style="0" width="20"/>
  </cols>
  <sheetData>
    <row r="1" customFormat="false" ht="19.7" hidden="false" customHeight="false" outlineLevel="0" collapsed="false">
      <c r="A1" s="1" t="s">
        <v>74</v>
      </c>
    </row>
    <row r="2" customFormat="false" ht="15" hidden="false" customHeight="false" outlineLevel="0" collapsed="false">
      <c r="A2" s="2" t="s">
        <v>75</v>
      </c>
    </row>
    <row r="5" customFormat="false" ht="15" hidden="false" customHeight="false" outlineLevel="0" collapsed="false">
      <c r="A5" s="3" t="s">
        <v>76</v>
      </c>
    </row>
    <row r="7" customFormat="false" ht="15" hidden="false" customHeight="false" outlineLevel="0" collapsed="false">
      <c r="A7" s="5" t="s">
        <v>77</v>
      </c>
      <c r="B7" s="6" t="s">
        <v>27</v>
      </c>
    </row>
    <row r="8" customFormat="false" ht="15" hidden="false" customHeight="false" outlineLevel="0" collapsed="false">
      <c r="A8" s="10" t="s">
        <v>78</v>
      </c>
      <c r="B8" s="17" t="n">
        <f aca="false">MidSwap+ReofferSpr/10000</f>
        <v>0.0432</v>
      </c>
    </row>
    <row r="9" customFormat="false" ht="15" hidden="false" customHeight="false" outlineLevel="0" collapsed="false">
      <c r="A9" s="10" t="s">
        <v>79</v>
      </c>
      <c r="B9" s="18" t="n">
        <f aca="false">MidSwap+Day1Spr/10000</f>
        <v>0.04285</v>
      </c>
    </row>
    <row r="11" customFormat="false" ht="15" hidden="false" customHeight="false" outlineLevel="0" collapsed="false">
      <c r="A11" s="3" t="s">
        <v>80</v>
      </c>
    </row>
    <row r="13" customFormat="false" ht="35.05" hidden="false" customHeight="false" outlineLevel="0" collapsed="false">
      <c r="A13" s="5" t="s">
        <v>81</v>
      </c>
      <c r="B13" s="6" t="s">
        <v>82</v>
      </c>
      <c r="C13" s="6" t="s">
        <v>83</v>
      </c>
      <c r="D13" s="6" t="s">
        <v>84</v>
      </c>
      <c r="E13" s="6" t="s">
        <v>85</v>
      </c>
      <c r="F13" s="6" t="s">
        <v>86</v>
      </c>
      <c r="G13" s="6" t="s">
        <v>87</v>
      </c>
    </row>
    <row r="14" customFormat="false" ht="15" hidden="false" customHeight="false" outlineLevel="0" collapsed="false">
      <c r="A14" s="19" t="n">
        <v>1</v>
      </c>
      <c r="B14" s="20" t="n">
        <f aca="false">IF($A14&lt;=Tenor,Coupon*100+IF($A14=Tenor,100,0),0)</f>
        <v>4.25</v>
      </c>
      <c r="C14" s="21" t="n">
        <f aca="false">IF($A14&lt;=Tenor,(1+Yld)^-$A14,0)</f>
        <v>0.958588957055215</v>
      </c>
      <c r="D14" s="20" t="n">
        <f aca="false">$B14*$C14</f>
        <v>4.07400306748466</v>
      </c>
      <c r="E14" s="20" t="n">
        <f aca="false">$A14*$D14</f>
        <v>4.07400306748466</v>
      </c>
      <c r="F14" s="21" t="n">
        <f aca="false">IF($A14&lt;=Tenor,(1+Yld1)^-$A14,0)</f>
        <v>0.958910677470394</v>
      </c>
      <c r="G14" s="20" t="n">
        <f aca="false">$B14*$F14</f>
        <v>4.07537037924917</v>
      </c>
    </row>
    <row r="15" customFormat="false" ht="15" hidden="false" customHeight="false" outlineLevel="0" collapsed="false">
      <c r="A15" s="19" t="n">
        <v>2</v>
      </c>
      <c r="B15" s="20" t="n">
        <f aca="false">IF($A15&lt;=Tenor,Coupon*100+IF($A15=Tenor,100,0),0)</f>
        <v>4.25</v>
      </c>
      <c r="C15" s="21" t="n">
        <f aca="false">IF($A15&lt;=Tenor,(1+Yld)^-$A15,0)</f>
        <v>0.918892788588204</v>
      </c>
      <c r="D15" s="20" t="n">
        <f aca="false">$B15*$C15</f>
        <v>3.90529435149987</v>
      </c>
      <c r="E15" s="20" t="n">
        <f aca="false">$A15*$D15</f>
        <v>7.81058870299974</v>
      </c>
      <c r="F15" s="21" t="n">
        <f aca="false">IF($A15&lt;=Tenor,(1+Yld1)^-$A15,0)</f>
        <v>0.919509687366729</v>
      </c>
      <c r="G15" s="20" t="n">
        <f aca="false">$B15*$F15</f>
        <v>3.9079161713086</v>
      </c>
    </row>
    <row r="16" customFormat="false" ht="15" hidden="false" customHeight="false" outlineLevel="0" collapsed="false">
      <c r="A16" s="19" t="n">
        <v>3</v>
      </c>
      <c r="B16" s="20" t="n">
        <f aca="false">IF($A16&lt;=Tenor,Coupon*100+IF($A16=Tenor,100,0),0)</f>
        <v>4.25</v>
      </c>
      <c r="C16" s="21" t="n">
        <f aca="false">IF($A16&lt;=Tenor,(1+Yld)^-$A16,0)</f>
        <v>0.880840479858325</v>
      </c>
      <c r="D16" s="20" t="n">
        <f aca="false">$B16*$C16</f>
        <v>3.74357203939788</v>
      </c>
      <c r="E16" s="20" t="n">
        <f aca="false">$A16*$D16</f>
        <v>11.2307161181936</v>
      </c>
      <c r="F16" s="21" t="n">
        <f aca="false">IF($A16&lt;=Tenor,(1+Yld1)^-$A16,0)</f>
        <v>0.88172765725342</v>
      </c>
      <c r="G16" s="20" t="n">
        <f aca="false">$B16*$F16</f>
        <v>3.74734254332704</v>
      </c>
    </row>
    <row r="17" customFormat="false" ht="15" hidden="false" customHeight="false" outlineLevel="0" collapsed="false">
      <c r="A17" s="19" t="n">
        <v>4</v>
      </c>
      <c r="B17" s="20" t="n">
        <f aca="false">IF($A17&lt;=Tenor,Coupon*100+IF($A17=Tenor,100,0),0)</f>
        <v>4.25</v>
      </c>
      <c r="C17" s="21" t="n">
        <f aca="false">IF($A17&lt;=Tenor,(1+Yld)^-$A17,0)</f>
        <v>0.844363956919407</v>
      </c>
      <c r="D17" s="20" t="n">
        <f aca="false">$B17*$C17</f>
        <v>3.58854681690748</v>
      </c>
      <c r="E17" s="20" t="n">
        <f aca="false">$A17*$D17</f>
        <v>14.3541872676299</v>
      </c>
      <c r="F17" s="21" t="n">
        <f aca="false">IF($A17&lt;=Tenor,(1+Yld1)^-$A17,0)</f>
        <v>0.84549806516126</v>
      </c>
      <c r="G17" s="20" t="n">
        <f aca="false">$B17*$F17</f>
        <v>3.59336677693536</v>
      </c>
    </row>
    <row r="18" customFormat="false" ht="15" hidden="false" customHeight="false" outlineLevel="0" collapsed="false">
      <c r="A18" s="19" t="n">
        <v>5</v>
      </c>
      <c r="B18" s="20" t="n">
        <f aca="false">IF($A18&lt;=Tenor,Coupon*100+IF($A18=Tenor,100,0),0)</f>
        <v>4.25</v>
      </c>
      <c r="C18" s="21" t="n">
        <f aca="false">IF($A18&lt;=Tenor,(1+Yld)^-$A18,0)</f>
        <v>0.809397964838388</v>
      </c>
      <c r="D18" s="20" t="n">
        <f aca="false">$B18*$C18</f>
        <v>3.43994135056315</v>
      </c>
      <c r="E18" s="20" t="n">
        <f aca="false">$A18*$D18</f>
        <v>17.1997067528158</v>
      </c>
      <c r="F18" s="21" t="n">
        <f aca="false">IF($A18&lt;=Tenor,(1+Yld1)^-$A18,0)</f>
        <v>0.810757122463691</v>
      </c>
      <c r="G18" s="20" t="n">
        <f aca="false">$B18*$F18</f>
        <v>3.44571777047069</v>
      </c>
    </row>
    <row r="19" customFormat="false" ht="15" hidden="false" customHeight="false" outlineLevel="0" collapsed="false">
      <c r="A19" s="19" t="n">
        <v>6</v>
      </c>
      <c r="B19" s="20" t="n">
        <f aca="false">IF($A19&lt;=Tenor,Coupon*100+IF($A19=Tenor,100,0),0)</f>
        <v>4.25</v>
      </c>
      <c r="C19" s="21" t="n">
        <f aca="false">IF($A19&lt;=Tenor,(1+Yld)^-$A19,0)</f>
        <v>0.775879950957044</v>
      </c>
      <c r="D19" s="20" t="n">
        <f aca="false">$B19*$C19</f>
        <v>3.29748979156744</v>
      </c>
      <c r="E19" s="20" t="n">
        <f aca="false">$A19*$D19</f>
        <v>19.7849387494046</v>
      </c>
      <c r="F19" s="21" t="n">
        <f aca="false">IF($A19&lt;=Tenor,(1+Yld1)^-$A19,0)</f>
        <v>0.777443661565605</v>
      </c>
      <c r="G19" s="20" t="n">
        <f aca="false">$B19*$F19</f>
        <v>3.30413556165382</v>
      </c>
    </row>
    <row r="20" customFormat="false" ht="15" hidden="false" customHeight="false" outlineLevel="0" collapsed="false">
      <c r="A20" s="19" t="n">
        <v>7</v>
      </c>
      <c r="B20" s="20" t="n">
        <f aca="false">IF($A20&lt;=Tenor,Coupon*100+IF($A20=Tenor,100,0),0)</f>
        <v>104.25</v>
      </c>
      <c r="C20" s="21" t="n">
        <f aca="false">IF($A20&lt;=Tenor,(1+Yld)^-$A20,0)</f>
        <v>0.743749952987964</v>
      </c>
      <c r="D20" s="20" t="n">
        <f aca="false">$B20*$C20</f>
        <v>77.5359325989953</v>
      </c>
      <c r="E20" s="20" t="n">
        <f aca="false">$A20*$D20</f>
        <v>542.751528192967</v>
      </c>
      <c r="F20" s="21" t="n">
        <f aca="false">IF($A20&lt;=Tenor,(1+Yld1)^-$A20,0)</f>
        <v>0.745499028206937</v>
      </c>
      <c r="G20" s="20" t="n">
        <f aca="false">$B20*$F20</f>
        <v>77.7182736905732</v>
      </c>
    </row>
    <row r="21" customFormat="false" ht="15" hidden="false" customHeight="false" outlineLevel="0" collapsed="false">
      <c r="A21" s="19" t="n">
        <v>8</v>
      </c>
      <c r="B21" s="20" t="n">
        <f aca="false">IF($A21&lt;=Tenor,Coupon*100+IF($A21=Tenor,100,0),0)</f>
        <v>0</v>
      </c>
      <c r="C21" s="21" t="n">
        <f aca="false">IF($A21&lt;=Tenor,(1+Yld)^-$A21,0)</f>
        <v>0</v>
      </c>
      <c r="D21" s="20" t="n">
        <f aca="false">$B21*$C21</f>
        <v>0</v>
      </c>
      <c r="E21" s="20" t="n">
        <f aca="false">$A21*$D21</f>
        <v>0</v>
      </c>
      <c r="F21" s="21" t="n">
        <f aca="false">IF($A21&lt;=Tenor,(1+Yld1)^-$A21,0)</f>
        <v>0</v>
      </c>
      <c r="G21" s="20" t="n">
        <f aca="false">$B21*$F21</f>
        <v>0</v>
      </c>
    </row>
    <row r="22" customFormat="false" ht="15" hidden="false" customHeight="false" outlineLevel="0" collapsed="false">
      <c r="A22" s="19" t="n">
        <v>9</v>
      </c>
      <c r="B22" s="20" t="n">
        <f aca="false">IF($A22&lt;=Tenor,Coupon*100+IF($A22=Tenor,100,0),0)</f>
        <v>0</v>
      </c>
      <c r="C22" s="21" t="n">
        <f aca="false">IF($A22&lt;=Tenor,(1+Yld)^-$A22,0)</f>
        <v>0</v>
      </c>
      <c r="D22" s="20" t="n">
        <f aca="false">$B22*$C22</f>
        <v>0</v>
      </c>
      <c r="E22" s="20" t="n">
        <f aca="false">$A22*$D22</f>
        <v>0</v>
      </c>
      <c r="F22" s="21" t="n">
        <f aca="false">IF($A22&lt;=Tenor,(1+Yld1)^-$A22,0)</f>
        <v>0</v>
      </c>
      <c r="G22" s="20" t="n">
        <f aca="false">$B22*$F22</f>
        <v>0</v>
      </c>
    </row>
    <row r="23" customFormat="false" ht="15" hidden="false" customHeight="false" outlineLevel="0" collapsed="false">
      <c r="A23" s="19" t="n">
        <v>10</v>
      </c>
      <c r="B23" s="20" t="n">
        <f aca="false">IF($A23&lt;=Tenor,Coupon*100+IF($A23=Tenor,100,0),0)</f>
        <v>0</v>
      </c>
      <c r="C23" s="21" t="n">
        <f aca="false">IF($A23&lt;=Tenor,(1+Yld)^-$A23,0)</f>
        <v>0</v>
      </c>
      <c r="D23" s="20" t="n">
        <f aca="false">$B23*$C23</f>
        <v>0</v>
      </c>
      <c r="E23" s="20" t="n">
        <f aca="false">$A23*$D23</f>
        <v>0</v>
      </c>
      <c r="F23" s="21" t="n">
        <f aca="false">IF($A23&lt;=Tenor,(1+Yld1)^-$A23,0)</f>
        <v>0</v>
      </c>
      <c r="G23" s="20" t="n">
        <f aca="false">$B23*$F23</f>
        <v>0</v>
      </c>
    </row>
    <row r="24" customFormat="false" ht="15" hidden="false" customHeight="false" outlineLevel="0" collapsed="false">
      <c r="A24" s="19" t="n">
        <v>11</v>
      </c>
      <c r="B24" s="20" t="n">
        <f aca="false">IF($A24&lt;=Tenor,Coupon*100+IF($A24=Tenor,100,0),0)</f>
        <v>0</v>
      </c>
      <c r="C24" s="21" t="n">
        <f aca="false">IF($A24&lt;=Tenor,(1+Yld)^-$A24,0)</f>
        <v>0</v>
      </c>
      <c r="D24" s="20" t="n">
        <f aca="false">$B24*$C24</f>
        <v>0</v>
      </c>
      <c r="E24" s="20" t="n">
        <f aca="false">$A24*$D24</f>
        <v>0</v>
      </c>
      <c r="F24" s="21" t="n">
        <f aca="false">IF($A24&lt;=Tenor,(1+Yld1)^-$A24,0)</f>
        <v>0</v>
      </c>
      <c r="G24" s="20" t="n">
        <f aca="false">$B24*$F24</f>
        <v>0</v>
      </c>
    </row>
    <row r="25" customFormat="false" ht="15" hidden="false" customHeight="false" outlineLevel="0" collapsed="false">
      <c r="A25" s="19" t="n">
        <v>12</v>
      </c>
      <c r="B25" s="20" t="n">
        <f aca="false">IF($A25&lt;=Tenor,Coupon*100+IF($A25=Tenor,100,0),0)</f>
        <v>0</v>
      </c>
      <c r="C25" s="21" t="n">
        <f aca="false">IF($A25&lt;=Tenor,(1+Yld)^-$A25,0)</f>
        <v>0</v>
      </c>
      <c r="D25" s="20" t="n">
        <f aca="false">$B25*$C25</f>
        <v>0</v>
      </c>
      <c r="E25" s="20" t="n">
        <f aca="false">$A25*$D25</f>
        <v>0</v>
      </c>
      <c r="F25" s="21" t="n">
        <f aca="false">IF($A25&lt;=Tenor,(1+Yld1)^-$A25,0)</f>
        <v>0</v>
      </c>
      <c r="G25" s="20" t="n">
        <f aca="false">$B25*$F25</f>
        <v>0</v>
      </c>
    </row>
    <row r="26" customFormat="false" ht="15" hidden="false" customHeight="false" outlineLevel="0" collapsed="false">
      <c r="A26" s="19" t="n">
        <v>13</v>
      </c>
      <c r="B26" s="20" t="n">
        <f aca="false">IF($A26&lt;=Tenor,Coupon*100+IF($A26=Tenor,100,0),0)</f>
        <v>0</v>
      </c>
      <c r="C26" s="21" t="n">
        <f aca="false">IF($A26&lt;=Tenor,(1+Yld)^-$A26,0)</f>
        <v>0</v>
      </c>
      <c r="D26" s="20" t="n">
        <f aca="false">$B26*$C26</f>
        <v>0</v>
      </c>
      <c r="E26" s="20" t="n">
        <f aca="false">$A26*$D26</f>
        <v>0</v>
      </c>
      <c r="F26" s="21" t="n">
        <f aca="false">IF($A26&lt;=Tenor,(1+Yld1)^-$A26,0)</f>
        <v>0</v>
      </c>
      <c r="G26" s="20" t="n">
        <f aca="false">$B26*$F26</f>
        <v>0</v>
      </c>
    </row>
    <row r="27" customFormat="false" ht="15" hidden="false" customHeight="false" outlineLevel="0" collapsed="false">
      <c r="A27" s="19" t="n">
        <v>14</v>
      </c>
      <c r="B27" s="20" t="n">
        <f aca="false">IF($A27&lt;=Tenor,Coupon*100+IF($A27=Tenor,100,0),0)</f>
        <v>0</v>
      </c>
      <c r="C27" s="21" t="n">
        <f aca="false">IF($A27&lt;=Tenor,(1+Yld)^-$A27,0)</f>
        <v>0</v>
      </c>
      <c r="D27" s="20" t="n">
        <f aca="false">$B27*$C27</f>
        <v>0</v>
      </c>
      <c r="E27" s="20" t="n">
        <f aca="false">$A27*$D27</f>
        <v>0</v>
      </c>
      <c r="F27" s="21" t="n">
        <f aca="false">IF($A27&lt;=Tenor,(1+Yld1)^-$A27,0)</f>
        <v>0</v>
      </c>
      <c r="G27" s="20" t="n">
        <f aca="false">$B27*$F27</f>
        <v>0</v>
      </c>
    </row>
    <row r="28" customFormat="false" ht="15" hidden="false" customHeight="false" outlineLevel="0" collapsed="false">
      <c r="A28" s="19" t="n">
        <v>15</v>
      </c>
      <c r="B28" s="20" t="n">
        <f aca="false">IF($A28&lt;=Tenor,Coupon*100+IF($A28=Tenor,100,0),0)</f>
        <v>0</v>
      </c>
      <c r="C28" s="21" t="n">
        <f aca="false">IF($A28&lt;=Tenor,(1+Yld)^-$A28,0)</f>
        <v>0</v>
      </c>
      <c r="D28" s="20" t="n">
        <f aca="false">$B28*$C28</f>
        <v>0</v>
      </c>
      <c r="E28" s="20" t="n">
        <f aca="false">$A28*$D28</f>
        <v>0</v>
      </c>
      <c r="F28" s="21" t="n">
        <f aca="false">IF($A28&lt;=Tenor,(1+Yld1)^-$A28,0)</f>
        <v>0</v>
      </c>
      <c r="G28" s="20" t="n">
        <f aca="false">$B28*$F28</f>
        <v>0</v>
      </c>
    </row>
    <row r="31" customFormat="false" ht="15" hidden="false" customHeight="false" outlineLevel="0" collapsed="false">
      <c r="A31" s="3" t="s">
        <v>88</v>
      </c>
    </row>
    <row r="33" customFormat="false" ht="15" hidden="false" customHeight="false" outlineLevel="0" collapsed="false">
      <c r="A33" s="5" t="s">
        <v>77</v>
      </c>
      <c r="B33" s="6" t="s">
        <v>27</v>
      </c>
    </row>
    <row r="34" customFormat="false" ht="15" hidden="false" customHeight="false" outlineLevel="0" collapsed="false">
      <c r="A34" s="10" t="s">
        <v>89</v>
      </c>
      <c r="B34" s="20" t="n">
        <f aca="false">SUM($D$14:$D$28)</f>
        <v>99.5847800164157</v>
      </c>
    </row>
    <row r="35" customFormat="false" ht="15" hidden="false" customHeight="false" outlineLevel="0" collapsed="false">
      <c r="A35" s="10" t="s">
        <v>90</v>
      </c>
      <c r="B35" s="20" t="n">
        <f aca="false">SUM($G$14:$G$28)</f>
        <v>99.7921228935179</v>
      </c>
    </row>
    <row r="36" customFormat="false" ht="15" hidden="false" customHeight="false" outlineLevel="0" collapsed="false">
      <c r="A36" s="10" t="s">
        <v>91</v>
      </c>
      <c r="B36" s="22" t="n">
        <f aca="false">SUM($C$14:$C$28)</f>
        <v>5.93171405120455</v>
      </c>
    </row>
    <row r="37" customFormat="false" ht="15" hidden="false" customHeight="false" outlineLevel="0" collapsed="false">
      <c r="A37" s="10" t="s">
        <v>92</v>
      </c>
      <c r="B37" s="20" t="n">
        <f aca="false">SUM($E$14:$E$28)/$B$34</f>
        <v>6.19779115593521</v>
      </c>
    </row>
    <row r="38" customFormat="false" ht="15" hidden="false" customHeight="false" outlineLevel="0" collapsed="false">
      <c r="A38" s="10" t="s">
        <v>93</v>
      </c>
      <c r="B38" s="22" t="n">
        <f aca="false">$B$37/(1+Yld)</f>
        <v>5.94113416021397</v>
      </c>
    </row>
    <row r="39" customFormat="false" ht="15" hidden="false" customHeight="false" outlineLevel="0" collapsed="false">
      <c r="A39" s="10" t="s">
        <v>94</v>
      </c>
      <c r="B39" s="23" t="n">
        <f aca="false">IssueSize/10000*$B$36</f>
        <v>296585.702560227</v>
      </c>
    </row>
    <row r="40" customFormat="false" ht="15" hidden="false" customHeight="false" outlineLevel="0" collapsed="false">
      <c r="A40" s="10" t="s">
        <v>95</v>
      </c>
      <c r="B40" s="24" t="n">
        <f aca="false">SharesNew</f>
        <v>9500000</v>
      </c>
    </row>
    <row r="41" customFormat="false" ht="15" hidden="false" customHeight="false" outlineLevel="0" collapsed="false">
      <c r="A41" s="10" t="s">
        <v>96</v>
      </c>
      <c r="B41" s="25" t="n">
        <f aca="false">SharesNew/100</f>
        <v>95000</v>
      </c>
    </row>
    <row r="43" customFormat="false" ht="15" hidden="false" customHeight="false" outlineLevel="0" collapsed="false">
      <c r="A43" s="14" t="s">
        <v>97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5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56"/>
    <col collapsed="false" customWidth="true" hidden="false" outlineLevel="0" max="3" min="2" style="0" width="20"/>
    <col collapsed="false" customWidth="true" hidden="false" outlineLevel="0" max="5" min="4" style="0" width="24"/>
  </cols>
  <sheetData>
    <row r="1" customFormat="false" ht="19.7" hidden="false" customHeight="false" outlineLevel="0" collapsed="false">
      <c r="A1" s="1" t="s">
        <v>98</v>
      </c>
    </row>
    <row r="2" customFormat="false" ht="15" hidden="false" customHeight="false" outlineLevel="0" collapsed="false">
      <c r="A2" s="2" t="s">
        <v>99</v>
      </c>
    </row>
    <row r="5" customFormat="false" ht="15" hidden="false" customHeight="false" outlineLevel="0" collapsed="false">
      <c r="A5" s="3" t="s">
        <v>100</v>
      </c>
    </row>
    <row r="7" customFormat="false" ht="23.85" hidden="false" customHeight="false" outlineLevel="0" collapsed="false">
      <c r="A7" s="5" t="s">
        <v>101</v>
      </c>
      <c r="B7" s="6" t="s">
        <v>102</v>
      </c>
      <c r="C7" s="6" t="s">
        <v>103</v>
      </c>
      <c r="D7" s="6" t="s">
        <v>104</v>
      </c>
      <c r="E7" s="6" t="s">
        <v>105</v>
      </c>
    </row>
    <row r="8" customFormat="false" ht="15" hidden="false" customHeight="false" outlineLevel="0" collapsed="false">
      <c r="A8" s="10" t="s">
        <v>106</v>
      </c>
      <c r="B8" s="26" t="n">
        <f aca="false">INDEX(CurveSpr,MAX(1,MIN(COUNT(CurveMat)-1,MATCH(TargetMat,CurveMat,1))))+(INDEX(CurveSpr,MAX(1,MIN(COUNT(CurveMat)-1,MATCH(TargetMat,CurveMat,1)))+1)-INDEX(CurveSpr,MAX(1,MIN(COUNT(CurveMat)-1,MATCH(TargetMat,CurveMat,1)))))*(TargetMat-INDEX(CurveMat,MAX(1,MIN(COUNT(CurveMat)-1,MATCH(TargetMat,CurveMat,1)))))/(INDEX(CurveMat,MAX(1,MIN(COUNT(CurveMat)-1,MATCH(TargetMat,CurveMat,1)))+1)-INDEX(CurveMat,MAX(1,MIN(COUNT(CurveMat)-1,MATCH(TargetMat,CurveMat,1)))))</f>
        <v>117.8125</v>
      </c>
      <c r="C8" s="26" t="n">
        <f aca="false">ReofferSpr-$B8</f>
        <v>4.1875</v>
      </c>
      <c r="D8" s="25" t="n">
        <f aca="false">$C8/10000*IssueSize*Annuity</f>
        <v>1241952.62947095</v>
      </c>
      <c r="E8" s="25" t="n">
        <f aca="false">$D8+CommBp/10000*IssueSize+BondExp</f>
        <v>3611952.62947095</v>
      </c>
    </row>
    <row r="9" customFormat="false" ht="15" hidden="false" customHeight="false" outlineLevel="0" collapsed="false">
      <c r="A9" s="10" t="s">
        <v>107</v>
      </c>
      <c r="B9" s="26" t="n">
        <f aca="false">INTERCEPT(CurveSpr,CurveMat)+SLOPE(CurveSpr,CurveMat)*TargetMat</f>
        <v>117.844071047584</v>
      </c>
      <c r="C9" s="26" t="n">
        <f aca="false">ReofferSpr-$B9</f>
        <v>4.15592895241599</v>
      </c>
      <c r="D9" s="25" t="n">
        <f aca="false">$C9/10000*IssueSize*Annuity</f>
        <v>1232589.10814269</v>
      </c>
      <c r="E9" s="25" t="n">
        <f aca="false">$D9+CommBp/10000*IssueSize+BondExp</f>
        <v>3602589.10814269</v>
      </c>
    </row>
    <row r="10" customFormat="false" ht="15" hidden="false" customHeight="false" outlineLevel="0" collapsed="false">
      <c r="A10" s="10" t="s">
        <v>108</v>
      </c>
      <c r="B10" s="26" t="n">
        <f aca="false">INDEX(CurveSpr,MAX(1,MIN(COUNT(CurveMat)-1,MATCH(TargetMat,CurveMat,1))))+(INDEX(CurveSpr,MAX(1,MIN(COUNT(CurveMat)-1,MATCH(TargetMat,CurveMat,1)))+1)-INDEX(CurveSpr,MAX(1,MIN(COUNT(CurveMat)-1,MATCH(TargetMat,CurveMat,1)))))*(SQRT(TargetMat)-SQRT(INDEX(CurveMat,MAX(1,MIN(COUNT(CurveMat)-1,MATCH(TargetMat,CurveMat,1))))))/(SQRT(INDEX(CurveMat,MAX(1,MIN(COUNT(CurveMat)-1,MATCH(TargetMat,CurveMat,1)))+1))-SQRT(INDEX(CurveMat,MAX(1,MIN(COUNT(CurveMat)-1,MATCH(TargetMat,CurveMat,1))))))</f>
        <v>120.324663166297</v>
      </c>
      <c r="C10" s="26" t="n">
        <f aca="false">ReofferSpr-$B10</f>
        <v>1.67533683370297</v>
      </c>
      <c r="D10" s="25" t="n">
        <f aca="false">$C10/10000*IssueSize*Annuity</f>
        <v>496880.951848823</v>
      </c>
      <c r="E10" s="25" t="n">
        <f aca="false">$D10+CommBp/10000*IssueSize+BondExp</f>
        <v>2866880.95184882</v>
      </c>
    </row>
    <row r="11" customFormat="false" ht="15" hidden="false" customHeight="false" outlineLevel="0" collapsed="false">
      <c r="A11" s="10" t="s">
        <v>109</v>
      </c>
      <c r="B11" s="26" t="n">
        <f aca="false">INDEX(CurveSpr,MAX(1,MIN(COUNT(CurveMat)-1,MATCH(TargetMat,CurveMat,1))))+(INDEX(CurveSpr,MAX(1,MIN(COUNT(CurveMat)-1,MATCH(TargetMat,CurveMat,1)))+1)-INDEX(CurveSpr,MAX(1,MIN(COUNT(CurveMat)-1,MATCH(TargetMat,CurveMat,1)))))*(LN(TargetMat)-LN(INDEX(CurveMat,MAX(1,MIN(COUNT(CurveMat)-1,MATCH(TargetMat,CurveMat,1))))))/(LN(INDEX(CurveMat,MAX(1,MIN(COUNT(CurveMat)-1,MATCH(TargetMat,CurveMat,1)))+1))-LN(INDEX(CurveMat,MAX(1,MIN(COUNT(CurveMat)-1,MATCH(TargetMat,CurveMat,1))))))</f>
        <v>122.78198898463</v>
      </c>
      <c r="C11" s="26" t="n">
        <f aca="false">ReofferSpr-$B11</f>
        <v>-0.781988984629805</v>
      </c>
      <c r="D11" s="25" t="n">
        <f aca="false">$C11/10000*IssueSize*Annuity</f>
        <v>-231926.75240079</v>
      </c>
      <c r="E11" s="25" t="n">
        <f aca="false">$D11+CommBp/10000*IssueSize+BondExp</f>
        <v>2138073.24759921</v>
      </c>
    </row>
    <row r="13" customFormat="false" ht="15" hidden="false" customHeight="false" outlineLevel="0" collapsed="false">
      <c r="A13" s="3" t="s">
        <v>110</v>
      </c>
    </row>
    <row r="15" customFormat="false" ht="15" hidden="false" customHeight="false" outlineLevel="0" collapsed="false">
      <c r="A15" s="5" t="s">
        <v>77</v>
      </c>
      <c r="B15" s="6" t="s">
        <v>27</v>
      </c>
    </row>
    <row r="16" customFormat="false" ht="15" hidden="false" customHeight="false" outlineLevel="0" collapsed="false">
      <c r="A16" s="10" t="s">
        <v>111</v>
      </c>
      <c r="B16" s="25" t="n">
        <f aca="false">CommBp/10000*IssueSize</f>
        <v>1750000</v>
      </c>
    </row>
    <row r="17" customFormat="false" ht="15" hidden="false" customHeight="false" outlineLevel="0" collapsed="false">
      <c r="A17" s="10" t="s">
        <v>35</v>
      </c>
      <c r="B17" s="25" t="n">
        <f aca="false">BondExp</f>
        <v>620000</v>
      </c>
    </row>
    <row r="18" customFormat="false" ht="15" hidden="false" customHeight="false" outlineLevel="0" collapsed="false">
      <c r="A18" s="10" t="s">
        <v>112</v>
      </c>
      <c r="B18" s="25" t="n">
        <f aca="false">$D$8</f>
        <v>1241952.62947095</v>
      </c>
    </row>
    <row r="19" customFormat="false" ht="15" hidden="false" customHeight="false" outlineLevel="0" collapsed="false">
      <c r="A19" s="10" t="s">
        <v>113</v>
      </c>
      <c r="B19" s="24" t="n">
        <f aca="false">$B$16+$B$17+$B$18</f>
        <v>3611952.62947095</v>
      </c>
    </row>
    <row r="20" customFormat="false" ht="15" hidden="false" customHeight="false" outlineLevel="0" collapsed="false">
      <c r="A20" s="10" t="s">
        <v>114</v>
      </c>
      <c r="B20" s="27" t="n">
        <f aca="false">$B$18/$B$19</f>
        <v>0.343845215282589</v>
      </c>
    </row>
    <row r="21" customFormat="false" ht="15" hidden="false" customHeight="false" outlineLevel="0" collapsed="false">
      <c r="A21" s="10" t="s">
        <v>115</v>
      </c>
      <c r="B21" s="18" t="n">
        <f aca="false">$B$19/IssueSize</f>
        <v>0.0072239052589419</v>
      </c>
    </row>
    <row r="22" customFormat="false" ht="15" hidden="false" customHeight="false" outlineLevel="0" collapsed="false">
      <c r="A22" s="10" t="s">
        <v>116</v>
      </c>
      <c r="B22" s="24" t="n">
        <f aca="false">MAX($E$8:$E$11)-MIN($E$8:$E$11)</f>
        <v>1473879.38187174</v>
      </c>
    </row>
    <row r="23" customFormat="false" ht="15" hidden="false" customHeight="false" outlineLevel="0" collapsed="false">
      <c r="A23" s="10" t="s">
        <v>117</v>
      </c>
      <c r="B23" s="25" t="n">
        <f aca="false">ConcLin/10000*IssueSize*Tenor</f>
        <v>1465625</v>
      </c>
    </row>
    <row r="24" customFormat="false" ht="15" hidden="false" customHeight="false" outlineLevel="0" collapsed="false">
      <c r="A24" s="10" t="s">
        <v>118</v>
      </c>
      <c r="B24" s="24" t="n">
        <f aca="false">$B$23-$B$18</f>
        <v>223672.370529048</v>
      </c>
    </row>
    <row r="25" customFormat="false" ht="15" hidden="false" customHeight="false" outlineLevel="0" collapsed="false">
      <c r="A25" s="10" t="s">
        <v>119</v>
      </c>
      <c r="B25" s="25" t="n">
        <f aca="false">ConcLin/10000*IssueSize*ModDur</f>
        <v>1243924.9647948</v>
      </c>
    </row>
    <row r="26" customFormat="false" ht="15" hidden="false" customHeight="false" outlineLevel="0" collapsed="false">
      <c r="A26" s="10" t="s">
        <v>120</v>
      </c>
      <c r="B26" s="24" t="n">
        <f aca="false">$B$25-$B$18</f>
        <v>1972.33532384783</v>
      </c>
    </row>
    <row r="27" customFormat="false" ht="15" hidden="false" customHeight="false" outlineLevel="0" collapsed="false">
      <c r="A27" s="10" t="s">
        <v>121</v>
      </c>
      <c r="B27" s="24" t="n">
        <f aca="false">ABS($D$9-$D$8)</f>
        <v>9363.52132826578</v>
      </c>
    </row>
    <row r="28" customFormat="false" ht="15" hidden="false" customHeight="false" outlineLevel="0" collapsed="false">
      <c r="A28" s="10" t="s">
        <v>122</v>
      </c>
      <c r="B28" s="25" t="n">
        <f aca="false">ABS(ROUND($B$9-$B$8,2))*PV01</f>
        <v>8897.57107680682</v>
      </c>
    </row>
    <row r="30" customFormat="false" ht="15" hidden="false" customHeight="false" outlineLevel="0" collapsed="false">
      <c r="A30" s="14" t="s">
        <v>123</v>
      </c>
    </row>
    <row r="33" customFormat="false" ht="15" hidden="false" customHeight="false" outlineLevel="0" collapsed="false">
      <c r="A33" s="3" t="s">
        <v>124</v>
      </c>
    </row>
    <row r="35" customFormat="false" ht="15" hidden="false" customHeight="false" outlineLevel="0" collapsed="false">
      <c r="A35" s="5" t="s">
        <v>77</v>
      </c>
      <c r="B35" s="6" t="s">
        <v>27</v>
      </c>
    </row>
    <row r="36" customFormat="false" ht="15" hidden="false" customHeight="false" outlineLevel="0" collapsed="false">
      <c r="A36" s="10" t="s">
        <v>125</v>
      </c>
      <c r="B36" s="28" t="n">
        <f aca="false">ReofferSpr-Day1Spr</f>
        <v>3.5</v>
      </c>
    </row>
    <row r="37" customFormat="false" ht="15" hidden="false" customHeight="false" outlineLevel="0" collapsed="false">
      <c r="A37" s="10" t="s">
        <v>126</v>
      </c>
      <c r="B37" s="25" t="n">
        <f aca="false">$B$36/10000*ModDur*Price/100*IssueSize</f>
        <v>1035381.44218761</v>
      </c>
    </row>
    <row r="38" customFormat="false" ht="15" hidden="false" customHeight="false" outlineLevel="0" collapsed="false">
      <c r="A38" s="10" t="s">
        <v>127</v>
      </c>
      <c r="B38" s="25" t="n">
        <f aca="false">(Price1-Price)/100*IssueSize</f>
        <v>1036714.38551082</v>
      </c>
    </row>
    <row r="39" customFormat="false" ht="15" hidden="false" customHeight="false" outlineLevel="0" collapsed="false">
      <c r="A39" s="10" t="s">
        <v>128</v>
      </c>
      <c r="B39" s="24" t="n">
        <f aca="false">$B$38-$B$37</f>
        <v>1332.94332320767</v>
      </c>
    </row>
    <row r="40" customFormat="false" ht="15" hidden="false" customHeight="false" outlineLevel="0" collapsed="false">
      <c r="A40" s="10" t="s">
        <v>129</v>
      </c>
      <c r="B40" s="27" t="n">
        <f aca="false">$B$36/ConcLin</f>
        <v>0.835820895522388</v>
      </c>
    </row>
    <row r="42" customFormat="false" ht="15" hidden="false" customHeight="false" outlineLevel="0" collapsed="false">
      <c r="A42" s="3" t="s">
        <v>37</v>
      </c>
    </row>
    <row r="44" customFormat="false" ht="15" hidden="false" customHeight="false" outlineLevel="0" collapsed="false">
      <c r="A44" s="5" t="s">
        <v>77</v>
      </c>
      <c r="B44" s="6" t="s">
        <v>27</v>
      </c>
    </row>
    <row r="45" customFormat="false" ht="15" hidden="false" customHeight="false" outlineLevel="0" collapsed="false">
      <c r="A45" s="10" t="s">
        <v>130</v>
      </c>
      <c r="B45" s="28" t="n">
        <f aca="false">(UsdCoupon-UsdMidSwap)*10000</f>
        <v>108</v>
      </c>
    </row>
    <row r="46" customFormat="false" ht="15" hidden="false" customHeight="false" outlineLevel="0" collapsed="false">
      <c r="A46" s="10" t="s">
        <v>131</v>
      </c>
      <c r="B46" s="28" t="n">
        <f aca="false">$B$45+Basis</f>
        <v>90</v>
      </c>
    </row>
    <row r="47" customFormat="false" ht="15" hidden="false" customHeight="false" outlineLevel="0" collapsed="false">
      <c r="A47" s="10" t="s">
        <v>132</v>
      </c>
      <c r="B47" s="28" t="n">
        <f aca="false">(UsdCoupon-Yld)*10000</f>
        <v>86</v>
      </c>
    </row>
    <row r="48" customFormat="false" ht="15" hidden="false" customHeight="false" outlineLevel="0" collapsed="false">
      <c r="A48" s="10" t="s">
        <v>133</v>
      </c>
      <c r="B48" s="28" t="n">
        <f aca="false">$B$46-ReofferSpr</f>
        <v>-32</v>
      </c>
    </row>
    <row r="49" customFormat="false" ht="15" hidden="false" customHeight="false" outlineLevel="0" collapsed="false">
      <c r="A49" s="10" t="s">
        <v>134</v>
      </c>
      <c r="B49" s="29" t="n">
        <f aca="false">$B$47-$B$48</f>
        <v>118</v>
      </c>
    </row>
    <row r="50" customFormat="false" ht="15" hidden="false" customHeight="false" outlineLevel="0" collapsed="false">
      <c r="A50" s="10" t="s">
        <v>135</v>
      </c>
      <c r="B50" s="28" t="n">
        <f aca="false">(UsdMidSwap-MidSwap)*10000</f>
        <v>100</v>
      </c>
    </row>
    <row r="51" customFormat="false" ht="15" hidden="false" customHeight="false" outlineLevel="0" collapsed="false">
      <c r="A51" s="10" t="s">
        <v>136</v>
      </c>
      <c r="B51" s="27" t="n">
        <f aca="false">$B$50/$B$49</f>
        <v>0.847457627118644</v>
      </c>
    </row>
    <row r="52" customFormat="false" ht="15" hidden="false" customHeight="false" outlineLevel="0" collapsed="false">
      <c r="A52" s="10" t="s">
        <v>137</v>
      </c>
      <c r="B52" s="27" t="n">
        <f aca="false">-Basis/$B$49</f>
        <v>0.152542372881356</v>
      </c>
    </row>
    <row r="53" customFormat="false" ht="15" hidden="false" customHeight="false" outlineLevel="0" collapsed="false">
      <c r="A53" s="10" t="s">
        <v>138</v>
      </c>
      <c r="B53" s="28" t="n">
        <f aca="false">ReofferSpr-$B$45</f>
        <v>14</v>
      </c>
    </row>
    <row r="54" customFormat="false" ht="15" hidden="false" customHeight="false" outlineLevel="0" collapsed="false">
      <c r="A54" s="10" t="s">
        <v>139</v>
      </c>
      <c r="B54" s="25" t="n">
        <f aca="false">-$B$48/10000*UsdAmount</f>
        <v>960000.000000001</v>
      </c>
    </row>
    <row r="55" customFormat="false" ht="15" hidden="false" customHeight="false" outlineLevel="0" collapsed="false">
      <c r="A55" s="10" t="s">
        <v>140</v>
      </c>
      <c r="B55" s="24" t="n">
        <f aca="false">$B$54*Annuity</f>
        <v>5694445.48915637</v>
      </c>
    </row>
    <row r="56" customFormat="false" ht="15" hidden="false" customHeight="false" outlineLevel="0" collapsed="false">
      <c r="A56" s="10" t="s">
        <v>141</v>
      </c>
      <c r="B56" s="25" t="n">
        <f aca="false">IssueSize-UsdAmount</f>
        <v>200000000</v>
      </c>
    </row>
    <row r="58" customFormat="false" ht="15" hidden="false" customHeight="false" outlineLevel="0" collapsed="false">
      <c r="A58" s="14" t="s">
        <v>142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4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58"/>
    <col collapsed="false" customWidth="true" hidden="false" outlineLevel="0" max="3" min="2" style="0" width="20"/>
    <col collapsed="false" customWidth="true" hidden="false" outlineLevel="0" max="4" min="4" style="0" width="24"/>
  </cols>
  <sheetData>
    <row r="1" customFormat="false" ht="19.7" hidden="false" customHeight="false" outlineLevel="0" collapsed="false">
      <c r="A1" s="1" t="s">
        <v>143</v>
      </c>
    </row>
    <row r="2" customFormat="false" ht="15" hidden="false" customHeight="false" outlineLevel="0" collapsed="false">
      <c r="A2" s="2" t="s">
        <v>144</v>
      </c>
    </row>
    <row r="5" customFormat="false" ht="15" hidden="false" customHeight="false" outlineLevel="0" collapsed="false">
      <c r="A5" s="3" t="s">
        <v>145</v>
      </c>
    </row>
    <row r="7" customFormat="false" ht="15" hidden="false" customHeight="false" outlineLevel="0" collapsed="false">
      <c r="A7" s="5" t="s">
        <v>48</v>
      </c>
      <c r="B7" s="6" t="s">
        <v>49</v>
      </c>
      <c r="C7" s="6" t="s">
        <v>146</v>
      </c>
      <c r="D7" s="6" t="s">
        <v>147</v>
      </c>
    </row>
    <row r="8" customFormat="false" ht="15" hidden="false" customHeight="false" outlineLevel="0" collapsed="false">
      <c r="A8" s="10" t="str">
        <f aca="false">INDEX(RefLbl,1)</f>
        <v>Thirty-day volume weighted average</v>
      </c>
      <c r="B8" s="30" t="n">
        <f aca="false">INDEX(RefLvl,1)</f>
        <v>41.8</v>
      </c>
      <c r="C8" s="27" t="n">
        <f aca="false">($B8-PlacePrice)/$B8</f>
        <v>0.0299043062200957</v>
      </c>
      <c r="D8" s="25" t="n">
        <f aca="false">($B8-PlacePrice)*SharesNew</f>
        <v>11875000</v>
      </c>
    </row>
    <row r="9" customFormat="false" ht="15" hidden="false" customHeight="false" outlineLevel="0" collapsed="false">
      <c r="A9" s="10" t="str">
        <f aca="false">INDEX(RefLbl,2)</f>
        <v>Last close</v>
      </c>
      <c r="B9" s="30" t="n">
        <f aca="false">INDEX(RefLvl,2)</f>
        <v>42.6</v>
      </c>
      <c r="C9" s="27" t="n">
        <f aca="false">($B9-PlacePrice)/$B9</f>
        <v>0.0481220657276996</v>
      </c>
      <c r="D9" s="25" t="n">
        <f aca="false">($B9-PlacePrice)*SharesNew</f>
        <v>19475000</v>
      </c>
    </row>
    <row r="10" customFormat="false" ht="15" hidden="false" customHeight="false" outlineLevel="0" collapsed="false">
      <c r="A10" s="10" t="str">
        <f aca="false">INDEX(RefLbl,3)</f>
        <v>Five-day volume weighted average</v>
      </c>
      <c r="B10" s="30" t="n">
        <f aca="false">INDEX(RefLvl,3)</f>
        <v>43.12</v>
      </c>
      <c r="C10" s="27" t="n">
        <f aca="false">($B10-PlacePrice)/$B10</f>
        <v>0.0596011131725418</v>
      </c>
      <c r="D10" s="25" t="n">
        <f aca="false">($B10-PlacePrice)*SharesNew</f>
        <v>24415000</v>
      </c>
    </row>
    <row r="11" customFormat="false" ht="15" hidden="false" customHeight="false" outlineLevel="0" collapsed="false">
      <c r="A11" s="10" t="str">
        <f aca="false">INDEX(RefLbl,4)</f>
        <v>Close before the wall-crossing</v>
      </c>
      <c r="B11" s="30" t="n">
        <f aca="false">INDEX(RefLvl,4)</f>
        <v>43.45</v>
      </c>
      <c r="C11" s="27" t="n">
        <f aca="false">($B11-PlacePrice)/$B11</f>
        <v>0.0667433831990795</v>
      </c>
      <c r="D11" s="25" t="n">
        <f aca="false">($B11-PlacePrice)*SharesNew</f>
        <v>27550000.0000001</v>
      </c>
    </row>
    <row r="13" customFormat="false" ht="15" hidden="false" customHeight="false" outlineLevel="0" collapsed="false">
      <c r="A13" s="3" t="s">
        <v>148</v>
      </c>
    </row>
    <row r="15" customFormat="false" ht="15" hidden="false" customHeight="false" outlineLevel="0" collapsed="false">
      <c r="A15" s="5" t="s">
        <v>77</v>
      </c>
      <c r="B15" s="6" t="s">
        <v>27</v>
      </c>
    </row>
    <row r="16" customFormat="false" ht="15" hidden="false" customHeight="false" outlineLevel="0" collapsed="false">
      <c r="A16" s="10" t="s">
        <v>149</v>
      </c>
      <c r="B16" s="26" t="n">
        <f aca="false">(MAX($C$8:$C$11)-MIN($C$8:$C$11))*100</f>
        <v>3.68390769789838</v>
      </c>
    </row>
    <row r="17" customFormat="false" ht="15" hidden="false" customHeight="false" outlineLevel="0" collapsed="false">
      <c r="A17" s="10" t="s">
        <v>150</v>
      </c>
      <c r="B17" s="24" t="n">
        <f aca="false">(MAX(RefLvl)-MIN(RefLvl))*SharesNew</f>
        <v>15675000.0000001</v>
      </c>
    </row>
    <row r="18" customFormat="false" ht="15" hidden="false" customHeight="false" outlineLevel="0" collapsed="false">
      <c r="A18" s="10" t="s">
        <v>151</v>
      </c>
      <c r="B18" s="25" t="n">
        <f aca="false">MIN($D$8:$D$11)</f>
        <v>11875000</v>
      </c>
    </row>
    <row r="19" customFormat="false" ht="15" hidden="false" customHeight="false" outlineLevel="0" collapsed="false">
      <c r="A19" s="10" t="s">
        <v>152</v>
      </c>
      <c r="B19" s="25" t="n">
        <f aca="false">MAX($D$8:$D$11)</f>
        <v>27550000.0000001</v>
      </c>
    </row>
    <row r="21" customFormat="false" ht="15" hidden="false" customHeight="false" outlineLevel="0" collapsed="false">
      <c r="A21" s="3" t="s">
        <v>153</v>
      </c>
    </row>
    <row r="23" customFormat="false" ht="15" hidden="false" customHeight="false" outlineLevel="0" collapsed="false">
      <c r="A23" s="5" t="s">
        <v>77</v>
      </c>
      <c r="B23" s="6" t="s">
        <v>27</v>
      </c>
    </row>
    <row r="24" customFormat="false" ht="15" hidden="false" customHeight="false" outlineLevel="0" collapsed="false">
      <c r="A24" s="10" t="s">
        <v>154</v>
      </c>
      <c r="B24" s="30" t="n">
        <f aca="false">INDEX(RefLvl,RefQuoted)</f>
        <v>42.6</v>
      </c>
    </row>
    <row r="25" customFormat="false" ht="15" hidden="false" customHeight="false" outlineLevel="0" collapsed="false">
      <c r="A25" s="10" t="s">
        <v>155</v>
      </c>
      <c r="B25" s="30" t="n">
        <f aca="false">INDEX(RefLvl,RefPreLeak)</f>
        <v>43.45</v>
      </c>
    </row>
    <row r="26" customFormat="false" ht="15" hidden="false" customHeight="false" outlineLevel="0" collapsed="false">
      <c r="A26" s="10" t="s">
        <v>156</v>
      </c>
      <c r="B26" s="27" t="n">
        <f aca="false">($B$24-PlacePrice)/$B$24</f>
        <v>0.0481220657276996</v>
      </c>
    </row>
    <row r="27" customFormat="false" ht="15" hidden="false" customHeight="false" outlineLevel="0" collapsed="false">
      <c r="A27" s="10" t="s">
        <v>157</v>
      </c>
      <c r="B27" s="31" t="n">
        <f aca="false">$B$25*(1-$B$26)</f>
        <v>41.3590962441315</v>
      </c>
    </row>
    <row r="28" customFormat="false" ht="15" hidden="false" customHeight="false" outlineLevel="0" collapsed="false">
      <c r="A28" s="10" t="s">
        <v>158</v>
      </c>
      <c r="B28" s="24" t="n">
        <f aca="false">SharesNew*($B$27-PlacePrice)</f>
        <v>7686414.31924887</v>
      </c>
    </row>
    <row r="29" customFormat="false" ht="15" hidden="false" customHeight="false" outlineLevel="0" collapsed="false">
      <c r="A29" s="10" t="s">
        <v>159</v>
      </c>
      <c r="B29" s="25" t="n">
        <f aca="false">SharesNew*($B$25-$B$24)</f>
        <v>8075000.00000001</v>
      </c>
    </row>
    <row r="30" customFormat="false" ht="15" hidden="false" customHeight="false" outlineLevel="0" collapsed="false">
      <c r="A30" s="10" t="s">
        <v>160</v>
      </c>
      <c r="B30" s="24" t="n">
        <f aca="false">$B$29-$B$28</f>
        <v>388585.680751141</v>
      </c>
    </row>
    <row r="32" customFormat="false" ht="15" hidden="false" customHeight="false" outlineLevel="0" collapsed="false">
      <c r="A32" s="3" t="s">
        <v>161</v>
      </c>
    </row>
    <row r="34" customFormat="false" ht="15" hidden="false" customHeight="false" outlineLevel="0" collapsed="false">
      <c r="A34" s="5" t="s">
        <v>77</v>
      </c>
      <c r="B34" s="6" t="s">
        <v>27</v>
      </c>
    </row>
    <row r="35" customFormat="false" ht="15" hidden="false" customHeight="false" outlineLevel="0" collapsed="false">
      <c r="A35" s="10" t="s">
        <v>162</v>
      </c>
      <c r="B35" s="25" t="n">
        <f aca="false">SharesNew*PlacePrice</f>
        <v>385225000</v>
      </c>
    </row>
    <row r="36" customFormat="false" ht="15" hidden="false" customHeight="false" outlineLevel="0" collapsed="false">
      <c r="A36" s="10" t="s">
        <v>163</v>
      </c>
      <c r="B36" s="25" t="n">
        <f aca="false">$B$35*CommRate</f>
        <v>4237475</v>
      </c>
    </row>
    <row r="37" customFormat="false" ht="15" hidden="false" customHeight="false" outlineLevel="0" collapsed="false">
      <c r="A37" s="10" t="s">
        <v>164</v>
      </c>
      <c r="B37" s="25" t="n">
        <f aca="false">SharesNew*($B$24-PlacePrice)</f>
        <v>19475000</v>
      </c>
    </row>
    <row r="38" customFormat="false" ht="15" hidden="false" customHeight="false" outlineLevel="0" collapsed="false">
      <c r="A38" s="10" t="s">
        <v>165</v>
      </c>
      <c r="B38" s="24" t="n">
        <f aca="false">$B$36+$B$28+$B$37</f>
        <v>31398889.3192489</v>
      </c>
    </row>
    <row r="39" customFormat="false" ht="15" hidden="false" customHeight="false" outlineLevel="0" collapsed="false">
      <c r="A39" s="10" t="s">
        <v>114</v>
      </c>
      <c r="B39" s="27" t="n">
        <f aca="false">($B$28+$B$37)/$B$38</f>
        <v>0.865043793208245</v>
      </c>
    </row>
    <row r="40" customFormat="false" ht="15" hidden="false" customHeight="false" outlineLevel="0" collapsed="false">
      <c r="A40" s="10" t="s">
        <v>115</v>
      </c>
      <c r="B40" s="18" t="n">
        <f aca="false">$B$38/$B$35</f>
        <v>0.0815079221734023</v>
      </c>
    </row>
    <row r="41" customFormat="false" ht="15" hidden="false" customHeight="false" outlineLevel="0" collapsed="false">
      <c r="A41" s="10" t="s">
        <v>166</v>
      </c>
      <c r="B41" s="18" t="n">
        <f aca="false">SharesNew/(SharesOld+SharesNew)</f>
        <v>0.0745098039215686</v>
      </c>
    </row>
    <row r="42" customFormat="false" ht="15" hidden="false" customHeight="false" outlineLevel="0" collapsed="false">
      <c r="A42" s="10" t="s">
        <v>167</v>
      </c>
      <c r="B42" s="25" t="n">
        <f aca="false">$B$35/$B$27</f>
        <v>9314154.20023015</v>
      </c>
    </row>
    <row r="43" customFormat="false" ht="15" hidden="false" customHeight="false" outlineLevel="0" collapsed="false">
      <c r="A43" s="10" t="s">
        <v>168</v>
      </c>
      <c r="B43" s="24" t="n">
        <f aca="false">SharesNew-$B$42</f>
        <v>185845.79976985</v>
      </c>
    </row>
    <row r="44" customFormat="false" ht="15" hidden="false" customHeight="false" outlineLevel="0" collapsed="false">
      <c r="A44" s="10" t="s">
        <v>169</v>
      </c>
      <c r="B44" s="32" t="n">
        <f aca="false">$B$40/'The bond'!$B$21</f>
        <v>11.2830829380701</v>
      </c>
    </row>
    <row r="45" customFormat="false" ht="15" hidden="false" customHeight="false" outlineLevel="0" collapsed="false">
      <c r="A45" s="10" t="s">
        <v>170</v>
      </c>
      <c r="B45" s="26" t="n">
        <f aca="false">$B$40/(MIN('The bond'!$E$8:$E$11)/IssueSize)</f>
        <v>19.0610687133674</v>
      </c>
    </row>
    <row r="47" customFormat="false" ht="15" hidden="false" customHeight="false" outlineLevel="0" collapsed="false">
      <c r="A47" s="14" t="s">
        <v>171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3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40"/>
    <col collapsed="false" customWidth="true" hidden="false" outlineLevel="0" max="2" min="2" style="0" width="20"/>
    <col collapsed="false" customWidth="true" hidden="false" outlineLevel="0" max="3" min="3" style="0" width="14"/>
    <col collapsed="false" customWidth="true" hidden="false" outlineLevel="0" max="4" min="4" style="0" width="16"/>
    <col collapsed="false" customWidth="true" hidden="false" outlineLevel="0" max="6" min="5" style="0" width="22"/>
    <col collapsed="false" customWidth="true" hidden="false" outlineLevel="0" max="8" min="7" style="0" width="20"/>
  </cols>
  <sheetData>
    <row r="1" customFormat="false" ht="19.7" hidden="false" customHeight="false" outlineLevel="0" collapsed="false">
      <c r="A1" s="1" t="s">
        <v>172</v>
      </c>
    </row>
    <row r="2" customFormat="false" ht="15" hidden="false" customHeight="false" outlineLevel="0" collapsed="false">
      <c r="A2" s="2" t="s">
        <v>173</v>
      </c>
    </row>
    <row r="5" customFormat="false" ht="15" hidden="false" customHeight="false" outlineLevel="0" collapsed="false">
      <c r="A5" s="3" t="s">
        <v>174</v>
      </c>
    </row>
    <row r="7" customFormat="false" ht="23.85" hidden="false" customHeight="false" outlineLevel="0" collapsed="false">
      <c r="A7" s="5" t="s">
        <v>57</v>
      </c>
      <c r="B7" s="6" t="s">
        <v>58</v>
      </c>
      <c r="C7" s="6" t="s">
        <v>59</v>
      </c>
      <c r="D7" s="6" t="s">
        <v>60</v>
      </c>
      <c r="E7" s="6" t="s">
        <v>175</v>
      </c>
      <c r="F7" s="6" t="s">
        <v>176</v>
      </c>
      <c r="G7" s="6" t="s">
        <v>177</v>
      </c>
      <c r="H7" s="6" t="s">
        <v>178</v>
      </c>
    </row>
    <row r="8" customFormat="false" ht="15" hidden="false" customHeight="false" outlineLevel="0" collapsed="false">
      <c r="A8" s="10" t="str">
        <f aca="false">INDEX(AccLbl,1)</f>
        <v>Long-only asset managers</v>
      </c>
      <c r="B8" s="25" t="n">
        <f aca="false">INDEX(Demand,1)</f>
        <v>1420000000</v>
      </c>
      <c r="C8" s="27" t="n">
        <f aca="false">INDEX(Service,1)</f>
        <v>1</v>
      </c>
      <c r="D8" s="27" t="n">
        <f aca="false">INDEX(Retain,1)</f>
        <v>0.94</v>
      </c>
      <c r="E8" s="25" t="n">
        <f aca="false">IssueSize*$B8*$C8/SUMPRODUCT(Demand,Service)</f>
        <v>308026030.368764</v>
      </c>
      <c r="F8" s="25" t="n">
        <f aca="false">IssueSize*$B8/SUM(Demand)</f>
        <v>249122807.017544</v>
      </c>
      <c r="G8" s="25" t="n">
        <f aca="false">$E8/IssueSize*GainExact</f>
        <v>638670.03359018</v>
      </c>
      <c r="H8" s="25" t="n">
        <f aca="false">$F8/IssueSize*GainExact</f>
        <v>516538.395587847</v>
      </c>
    </row>
    <row r="9" customFormat="false" ht="15" hidden="false" customHeight="false" outlineLevel="0" collapsed="false">
      <c r="A9" s="10" t="str">
        <f aca="false">INDEX(AccLbl,2)</f>
        <v>Insurers and pension funds</v>
      </c>
      <c r="B9" s="25" t="n">
        <f aca="false">INDEX(Demand,2)</f>
        <v>610000000</v>
      </c>
      <c r="C9" s="27" t="n">
        <f aca="false">INDEX(Service,2)</f>
        <v>1</v>
      </c>
      <c r="D9" s="27" t="n">
        <f aca="false">INDEX(Retain,2)</f>
        <v>0.97</v>
      </c>
      <c r="E9" s="25" t="n">
        <f aca="false">IssueSize*$B9*$C9/SUMPRODUCT(Demand,Service)</f>
        <v>132321041.214751</v>
      </c>
      <c r="F9" s="25" t="n">
        <f aca="false">IssueSize*$B9/SUM(Demand)</f>
        <v>107017543.859649</v>
      </c>
      <c r="G9" s="25" t="n">
        <f aca="false">$E9/IssueSize*GainExact</f>
        <v>274358.253866204</v>
      </c>
      <c r="H9" s="25" t="n">
        <f aca="false">$F9/IssueSize*GainExact</f>
        <v>221893.254442667</v>
      </c>
    </row>
    <row r="10" customFormat="false" ht="15" hidden="false" customHeight="false" outlineLevel="0" collapsed="false">
      <c r="A10" s="10" t="str">
        <f aca="false">INDEX(AccLbl,3)</f>
        <v>Bank treasuries</v>
      </c>
      <c r="B10" s="25" t="n">
        <f aca="false">INDEX(Demand,3)</f>
        <v>380000000</v>
      </c>
      <c r="C10" s="27" t="n">
        <f aca="false">INDEX(Service,3)</f>
        <v>0.55</v>
      </c>
      <c r="D10" s="27" t="n">
        <f aca="false">INDEX(Retain,3)</f>
        <v>0.88</v>
      </c>
      <c r="E10" s="25" t="n">
        <f aca="false">IssueSize*$B10*$C10/SUMPRODUCT(Demand,Service)</f>
        <v>45336225.5965293</v>
      </c>
      <c r="F10" s="25" t="n">
        <f aca="false">IssueSize*$B10/SUM(Demand)</f>
        <v>66666666.6666667</v>
      </c>
      <c r="G10" s="25" t="n">
        <f aca="false">$E10/IssueSize*GainExact</f>
        <v>94001.4345213715</v>
      </c>
      <c r="H10" s="25" t="n">
        <f aca="false">$F10/IssueSize*GainExact</f>
        <v>138228.584734776</v>
      </c>
    </row>
    <row r="11" customFormat="false" ht="15" hidden="false" customHeight="false" outlineLevel="0" collapsed="false">
      <c r="A11" s="10" t="str">
        <f aca="false">INDEX(AccLbl,4)</f>
        <v>Hedge funds</v>
      </c>
      <c r="B11" s="25" t="n">
        <f aca="false">INDEX(Demand,4)</f>
        <v>440000000</v>
      </c>
      <c r="C11" s="27" t="n">
        <f aca="false">INDEX(Service,4)</f>
        <v>0.15</v>
      </c>
      <c r="D11" s="27" t="n">
        <f aca="false">INDEX(Retain,4)</f>
        <v>0.21</v>
      </c>
      <c r="E11" s="25" t="n">
        <f aca="false">IssueSize*$B11*$C11/SUMPRODUCT(Demand,Service)</f>
        <v>14316702.8199566</v>
      </c>
      <c r="F11" s="25" t="n">
        <f aca="false">IssueSize*$B11/SUM(Demand)</f>
        <v>77192982.4561404</v>
      </c>
      <c r="G11" s="25" t="n">
        <f aca="false">$E11/IssueSize*GainExact</f>
        <v>29684.6635330647</v>
      </c>
      <c r="H11" s="25" t="n">
        <f aca="false">$F11/IssueSize*GainExact</f>
        <v>160054.15074553</v>
      </c>
    </row>
    <row r="12" customFormat="false" ht="15" hidden="false" customHeight="false" outlineLevel="0" collapsed="false">
      <c r="A12" s="33" t="s">
        <v>179</v>
      </c>
      <c r="B12" s="24" t="n">
        <f aca="false">SUM($B$8:$B$11)</f>
        <v>2850000000</v>
      </c>
      <c r="E12" s="24" t="n">
        <f aca="false">SUM($E$8:$E$11)</f>
        <v>500000000</v>
      </c>
      <c r="F12" s="24" t="n">
        <f aca="false">SUM($F$8:$F$11)</f>
        <v>500000000</v>
      </c>
      <c r="G12" s="24" t="n">
        <f aca="false">SUM($G$8:$G$11)</f>
        <v>1036714.38551082</v>
      </c>
      <c r="H12" s="24" t="n">
        <f aca="false">SUM($H$8:$H$11)</f>
        <v>1036714.38551082</v>
      </c>
    </row>
    <row r="14" customFormat="false" ht="15" hidden="false" customHeight="false" outlineLevel="0" collapsed="false">
      <c r="A14" s="3" t="s">
        <v>180</v>
      </c>
    </row>
    <row r="16" customFormat="false" ht="15" hidden="false" customHeight="false" outlineLevel="0" collapsed="false">
      <c r="A16" s="5" t="s">
        <v>77</v>
      </c>
      <c r="B16" s="6" t="s">
        <v>27</v>
      </c>
    </row>
    <row r="17" customFormat="false" ht="15" hidden="false" customHeight="false" outlineLevel="0" collapsed="false">
      <c r="A17" s="10" t="s">
        <v>181</v>
      </c>
      <c r="B17" s="27" t="n">
        <f aca="false">(IssueSize-SUMPRODUCT($E$8:$E$11,Retain))/IssueSize</f>
        <v>0.0784034707158352</v>
      </c>
    </row>
    <row r="18" customFormat="false" ht="15" hidden="false" customHeight="false" outlineLevel="0" collapsed="false">
      <c r="A18" s="10" t="s">
        <v>182</v>
      </c>
      <c r="B18" s="27" t="n">
        <f aca="false">(IssueSize-SUMPRODUCT($F$8:$F$11,Retain))/IssueSize</f>
        <v>0.174280701754386</v>
      </c>
    </row>
    <row r="19" customFormat="false" ht="15" hidden="false" customHeight="false" outlineLevel="0" collapsed="false">
      <c r="A19" s="10" t="s">
        <v>183</v>
      </c>
      <c r="B19" s="32" t="n">
        <f aca="false">($B$18-$B$17)*100</f>
        <v>9.58772310385507</v>
      </c>
    </row>
    <row r="20" customFormat="false" ht="15" hidden="false" customHeight="false" outlineLevel="0" collapsed="false">
      <c r="A20" s="10" t="s">
        <v>184</v>
      </c>
      <c r="B20" s="24" t="n">
        <f aca="false">($B$18-$B$17)*IssueSize</f>
        <v>47938615.5192754</v>
      </c>
    </row>
    <row r="21" customFormat="false" ht="15" hidden="false" customHeight="false" outlineLevel="0" collapsed="false">
      <c r="A21" s="10" t="s">
        <v>185</v>
      </c>
      <c r="B21" s="25" t="n">
        <f aca="false">$G$8+$G$9</f>
        <v>913028.287456384</v>
      </c>
    </row>
    <row r="22" customFormat="false" ht="15" hidden="false" customHeight="false" outlineLevel="0" collapsed="false">
      <c r="A22" s="10" t="s">
        <v>186</v>
      </c>
      <c r="B22" s="25" t="n">
        <f aca="false">$H$8+$H$9</f>
        <v>738431.650030514</v>
      </c>
    </row>
    <row r="23" customFormat="false" ht="15" hidden="false" customHeight="false" outlineLevel="0" collapsed="false">
      <c r="A23" s="10" t="s">
        <v>187</v>
      </c>
      <c r="B23" s="24" t="n">
        <f aca="false">$B$21-$B$22</f>
        <v>174596.63742587</v>
      </c>
    </row>
    <row r="24" customFormat="false" ht="15" hidden="false" customHeight="false" outlineLevel="0" collapsed="false">
      <c r="A24" s="10" t="s">
        <v>188</v>
      </c>
      <c r="B24" s="27" t="n">
        <f aca="false">($E$8+$E$9)/IssueSize</f>
        <v>0.880694143167028</v>
      </c>
    </row>
    <row r="25" customFormat="false" ht="15" hidden="false" customHeight="false" outlineLevel="0" collapsed="false">
      <c r="A25" s="10" t="s">
        <v>189</v>
      </c>
      <c r="B25" s="27" t="n">
        <f aca="false">($F$8+$F$9)/IssueSize</f>
        <v>0.712280701754386</v>
      </c>
    </row>
    <row r="26" customFormat="false" ht="15" hidden="false" customHeight="false" outlineLevel="0" collapsed="false">
      <c r="A26" s="10" t="s">
        <v>190</v>
      </c>
      <c r="B26" s="25" t="n">
        <f aca="false">$G$11</f>
        <v>29684.6635330647</v>
      </c>
    </row>
    <row r="27" customFormat="false" ht="15" hidden="false" customHeight="false" outlineLevel="0" collapsed="false">
      <c r="A27" s="10" t="s">
        <v>186</v>
      </c>
      <c r="B27" s="25" t="n">
        <f aca="false">$H$11</f>
        <v>160054.15074553</v>
      </c>
    </row>
    <row r="28" customFormat="false" ht="15" hidden="false" customHeight="false" outlineLevel="0" collapsed="false">
      <c r="A28" s="10" t="s">
        <v>191</v>
      </c>
      <c r="B28" s="34" t="n">
        <f aca="false">$E$12-IssueSize</f>
        <v>0</v>
      </c>
    </row>
    <row r="30" customFormat="false" ht="15" hidden="false" customHeight="false" outlineLevel="0" collapsed="false">
      <c r="A30" s="14" t="s">
        <v>192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5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50"/>
    <col collapsed="false" customWidth="true" hidden="false" outlineLevel="0" max="3" min="2" style="0" width="14"/>
    <col collapsed="false" customWidth="true" hidden="false" outlineLevel="0" max="4" min="4" style="0" width="26"/>
    <col collapsed="false" customWidth="true" hidden="false" outlineLevel="0" max="5" min="5" style="0" width="30"/>
    <col collapsed="false" customWidth="true" hidden="false" outlineLevel="0" max="6" min="6" style="0" width="40"/>
    <col collapsed="false" customWidth="true" hidden="false" outlineLevel="0" max="7" min="7" style="0" width="44"/>
    <col collapsed="false" customWidth="true" hidden="false" outlineLevel="0" max="9" min="8" style="0" width="22"/>
    <col collapsed="false" customWidth="true" hidden="false" outlineLevel="0" max="11" min="10" style="0" width="14"/>
    <col collapsed="false" customWidth="true" hidden="false" outlineLevel="0" max="12" min="12" style="0" width="34"/>
  </cols>
  <sheetData>
    <row r="1" customFormat="false" ht="19.7" hidden="false" customHeight="false" outlineLevel="0" collapsed="false">
      <c r="A1" s="1" t="s">
        <v>193</v>
      </c>
    </row>
    <row r="2" customFormat="false" ht="15" hidden="false" customHeight="false" outlineLevel="0" collapsed="false">
      <c r="A2" s="2" t="s">
        <v>194</v>
      </c>
    </row>
    <row r="5" customFormat="false" ht="15" hidden="false" customHeight="false" outlineLevel="0" collapsed="false">
      <c r="A5" s="3" t="s">
        <v>195</v>
      </c>
    </row>
    <row r="7" customFormat="false" ht="35.05" hidden="false" customHeight="false" outlineLevel="0" collapsed="false">
      <c r="A7" s="5" t="s">
        <v>196</v>
      </c>
      <c r="B7" s="6" t="s">
        <v>197</v>
      </c>
      <c r="C7" s="6" t="s">
        <v>198</v>
      </c>
      <c r="D7" s="6" t="s">
        <v>199</v>
      </c>
      <c r="E7" s="6" t="s">
        <v>200</v>
      </c>
      <c r="F7" s="6" t="s">
        <v>201</v>
      </c>
      <c r="G7" s="6" t="s">
        <v>202</v>
      </c>
      <c r="H7" s="6" t="s">
        <v>203</v>
      </c>
      <c r="I7" s="6" t="s">
        <v>204</v>
      </c>
      <c r="J7" s="6" t="s">
        <v>205</v>
      </c>
      <c r="K7" s="6" t="s">
        <v>206</v>
      </c>
      <c r="L7" s="6" t="s">
        <v>207</v>
      </c>
    </row>
    <row r="8" customFormat="false" ht="28.35" hidden="false" customHeight="false" outlineLevel="0" collapsed="false">
      <c r="A8" s="10" t="s">
        <v>208</v>
      </c>
      <c r="B8" s="4" t="s">
        <v>209</v>
      </c>
      <c r="C8" s="4" t="s">
        <v>210</v>
      </c>
      <c r="D8" s="4" t="s">
        <v>211</v>
      </c>
      <c r="E8" s="4" t="s">
        <v>212</v>
      </c>
      <c r="F8" s="4" t="s">
        <v>213</v>
      </c>
      <c r="G8" s="4" t="s">
        <v>214</v>
      </c>
      <c r="H8" s="24" t="n">
        <f aca="false">'The placement'!$B$17</f>
        <v>15675000.0000001</v>
      </c>
      <c r="J8" s="35" t="str">
        <f aca="false">IF(ABS($H8)&gt;FeePlacement,"yes","no")</f>
        <v>yes</v>
      </c>
      <c r="K8" s="10" t="s">
        <v>215</v>
      </c>
      <c r="L8" s="7"/>
    </row>
    <row r="9" customFormat="false" ht="28.35" hidden="false" customHeight="false" outlineLevel="0" collapsed="false">
      <c r="A9" s="10" t="s">
        <v>216</v>
      </c>
      <c r="B9" s="4" t="s">
        <v>217</v>
      </c>
      <c r="C9" s="4" t="s">
        <v>19</v>
      </c>
      <c r="D9" s="4" t="s">
        <v>218</v>
      </c>
      <c r="E9" s="4" t="s">
        <v>219</v>
      </c>
      <c r="F9" s="4" t="s">
        <v>220</v>
      </c>
      <c r="G9" s="4" t="s">
        <v>221</v>
      </c>
      <c r="H9" s="24" t="n">
        <f aca="false">'The bond'!$B$55</f>
        <v>5694445.48915637</v>
      </c>
      <c r="J9" s="35" t="str">
        <f aca="false">IF(ABS($H9)&gt;FeeBond,"yes","no")</f>
        <v>yes</v>
      </c>
      <c r="K9" s="10" t="s">
        <v>222</v>
      </c>
      <c r="L9" s="7"/>
    </row>
    <row r="10" customFormat="false" ht="28.35" hidden="false" customHeight="false" outlineLevel="0" collapsed="false">
      <c r="A10" s="10" t="s">
        <v>223</v>
      </c>
      <c r="B10" s="4" t="s">
        <v>224</v>
      </c>
      <c r="C10" s="4" t="s">
        <v>19</v>
      </c>
      <c r="D10" s="4" t="s">
        <v>225</v>
      </c>
      <c r="E10" s="4" t="s">
        <v>226</v>
      </c>
      <c r="F10" s="4" t="s">
        <v>227</v>
      </c>
      <c r="G10" s="4" t="s">
        <v>228</v>
      </c>
      <c r="H10" s="24" t="n">
        <f aca="false">'The bond'!$B$22</f>
        <v>1473879.38187174</v>
      </c>
      <c r="J10" s="35" t="str">
        <f aca="false">IF(ABS($H10)&gt;FeeBond,"yes","no")</f>
        <v>no</v>
      </c>
      <c r="K10" s="10" t="s">
        <v>222</v>
      </c>
      <c r="L10" s="7"/>
    </row>
    <row r="11" customFormat="false" ht="28.35" hidden="false" customHeight="false" outlineLevel="0" collapsed="false">
      <c r="A11" s="10" t="s">
        <v>229</v>
      </c>
      <c r="B11" s="4" t="s">
        <v>224</v>
      </c>
      <c r="C11" s="4" t="s">
        <v>210</v>
      </c>
      <c r="D11" s="4" t="s">
        <v>230</v>
      </c>
      <c r="E11" s="4" t="s">
        <v>231</v>
      </c>
      <c r="F11" s="4" t="s">
        <v>232</v>
      </c>
      <c r="G11" s="4" t="s">
        <v>233</v>
      </c>
      <c r="H11" s="24" t="n">
        <f aca="false">'The placement'!$B$30</f>
        <v>388585.680751141</v>
      </c>
      <c r="I11" s="25" t="n">
        <f aca="false">'The placement'!$B$28</f>
        <v>7686414.31924887</v>
      </c>
      <c r="J11" s="35" t="str">
        <f aca="false">IF(ABS($H11)&gt;FeePlacement,"yes","no")</f>
        <v>no</v>
      </c>
      <c r="K11" s="10" t="s">
        <v>215</v>
      </c>
      <c r="L11" s="7"/>
    </row>
    <row r="12" customFormat="false" ht="28.35" hidden="false" customHeight="false" outlineLevel="0" collapsed="false">
      <c r="A12" s="10" t="s">
        <v>234</v>
      </c>
      <c r="B12" s="4" t="s">
        <v>235</v>
      </c>
      <c r="C12" s="4" t="s">
        <v>19</v>
      </c>
      <c r="D12" s="4" t="s">
        <v>236</v>
      </c>
      <c r="E12" s="4" t="s">
        <v>237</v>
      </c>
      <c r="F12" s="4" t="s">
        <v>238</v>
      </c>
      <c r="G12" s="4" t="s">
        <v>239</v>
      </c>
      <c r="H12" s="24" t="n">
        <f aca="false">'The bond'!$B$24</f>
        <v>223672.370529048</v>
      </c>
      <c r="J12" s="35" t="str">
        <f aca="false">IF(ABS($H12)&gt;FeeBond,"yes","no")</f>
        <v>no</v>
      </c>
      <c r="K12" s="10" t="s">
        <v>215</v>
      </c>
      <c r="L12" s="7"/>
    </row>
    <row r="13" customFormat="false" ht="15" hidden="false" customHeight="false" outlineLevel="0" collapsed="false">
      <c r="A13" s="10" t="s">
        <v>240</v>
      </c>
      <c r="B13" s="4" t="s">
        <v>209</v>
      </c>
      <c r="C13" s="4" t="s">
        <v>19</v>
      </c>
      <c r="D13" s="4" t="s">
        <v>241</v>
      </c>
      <c r="E13" s="4" t="s">
        <v>226</v>
      </c>
      <c r="F13" s="4" t="s">
        <v>242</v>
      </c>
      <c r="G13" s="4" t="s">
        <v>243</v>
      </c>
      <c r="H13" s="24" t="n">
        <f aca="false">'The allocation'!$B$23</f>
        <v>174596.63742587</v>
      </c>
      <c r="I13" s="25" t="n">
        <f aca="false">'The allocation'!$B$20</f>
        <v>47938615.5192754</v>
      </c>
      <c r="J13" s="35" t="str">
        <f aca="false">IF(ABS($H13)&gt;FeeBond,"yes","no")</f>
        <v>no</v>
      </c>
      <c r="K13" s="10" t="s">
        <v>215</v>
      </c>
      <c r="L13" s="7"/>
    </row>
    <row r="14" customFormat="false" ht="15" hidden="false" customHeight="false" outlineLevel="0" collapsed="false">
      <c r="A14" s="10" t="s">
        <v>244</v>
      </c>
      <c r="B14" s="4" t="s">
        <v>209</v>
      </c>
      <c r="C14" s="4" t="s">
        <v>19</v>
      </c>
      <c r="D14" s="4" t="s">
        <v>245</v>
      </c>
      <c r="E14" s="4" t="s">
        <v>226</v>
      </c>
      <c r="F14" s="4" t="s">
        <v>246</v>
      </c>
      <c r="G14" s="4" t="s">
        <v>247</v>
      </c>
      <c r="H14" s="24" t="n">
        <f aca="false">'The bond'!$B$27</f>
        <v>9363.52132826578</v>
      </c>
      <c r="J14" s="35" t="str">
        <f aca="false">IF(ABS($H14)&gt;FeeBond,"yes","no")</f>
        <v>no</v>
      </c>
      <c r="K14" s="10" t="s">
        <v>215</v>
      </c>
      <c r="L14" s="7"/>
    </row>
    <row r="15" customFormat="false" ht="28.35" hidden="false" customHeight="false" outlineLevel="0" collapsed="false">
      <c r="A15" s="10" t="s">
        <v>248</v>
      </c>
      <c r="B15" s="4" t="s">
        <v>235</v>
      </c>
      <c r="C15" s="4" t="s">
        <v>19</v>
      </c>
      <c r="D15" s="4" t="s">
        <v>236</v>
      </c>
      <c r="E15" s="4" t="s">
        <v>237</v>
      </c>
      <c r="F15" s="4" t="s">
        <v>249</v>
      </c>
      <c r="G15" s="4" t="s">
        <v>250</v>
      </c>
      <c r="H15" s="24" t="n">
        <f aca="false">'The bond'!$B$26</f>
        <v>1972.33532384783</v>
      </c>
      <c r="J15" s="35" t="str">
        <f aca="false">IF(ABS($H15)&gt;FeeBond,"yes","no")</f>
        <v>no</v>
      </c>
      <c r="K15" s="10" t="s">
        <v>215</v>
      </c>
      <c r="L15" s="7"/>
    </row>
    <row r="16" customFormat="false" ht="15" hidden="false" customHeight="false" outlineLevel="0" collapsed="false">
      <c r="A16" s="10" t="s">
        <v>251</v>
      </c>
      <c r="B16" s="4" t="s">
        <v>224</v>
      </c>
      <c r="C16" s="4" t="s">
        <v>19</v>
      </c>
      <c r="D16" s="4" t="s">
        <v>252</v>
      </c>
      <c r="E16" s="4" t="s">
        <v>226</v>
      </c>
      <c r="F16" s="4" t="s">
        <v>253</v>
      </c>
      <c r="G16" s="4" t="s">
        <v>254</v>
      </c>
      <c r="H16" s="24" t="n">
        <f aca="false">'The bond'!$B$39</f>
        <v>1332.94332320767</v>
      </c>
      <c r="J16" s="35" t="str">
        <f aca="false">IF(ABS($H16)&gt;FeeBond,"yes","no")</f>
        <v>no</v>
      </c>
      <c r="K16" s="10" t="s">
        <v>215</v>
      </c>
      <c r="L16" s="7"/>
    </row>
    <row r="18" customFormat="false" ht="15" hidden="false" customHeight="false" outlineLevel="0" collapsed="false">
      <c r="A18" s="14" t="s">
        <v>255</v>
      </c>
    </row>
    <row r="19" customFormat="false" ht="15" hidden="false" customHeight="false" outlineLevel="0" collapsed="false">
      <c r="A19" s="14" t="s">
        <v>256</v>
      </c>
    </row>
    <row r="22" customFormat="false" ht="15" hidden="false" customHeight="false" outlineLevel="0" collapsed="false">
      <c r="A22" s="3" t="s">
        <v>257</v>
      </c>
    </row>
    <row r="24" customFormat="false" ht="15" hidden="false" customHeight="false" outlineLevel="0" collapsed="false">
      <c r="A24" s="5" t="s">
        <v>77</v>
      </c>
      <c r="B24" s="6" t="s">
        <v>27</v>
      </c>
    </row>
    <row r="25" customFormat="false" ht="15" hidden="false" customHeight="false" outlineLevel="0" collapsed="false">
      <c r="A25" s="10" t="s">
        <v>258</v>
      </c>
      <c r="B25" s="24" t="n">
        <f aca="false">'The bond'!$B$16</f>
        <v>1750000</v>
      </c>
    </row>
    <row r="26" customFormat="false" ht="15" hidden="false" customHeight="false" outlineLevel="0" collapsed="false">
      <c r="A26" s="10" t="s">
        <v>259</v>
      </c>
      <c r="B26" s="24" t="n">
        <f aca="false">'The placement'!$B$36</f>
        <v>4237475</v>
      </c>
    </row>
    <row r="27" customFormat="false" ht="15" hidden="false" customHeight="false" outlineLevel="0" collapsed="false">
      <c r="A27" s="10" t="s">
        <v>260</v>
      </c>
      <c r="B27" s="19" t="n">
        <f aca="false">COUNTIF($J$8:$J$16,"yes")</f>
        <v>2</v>
      </c>
    </row>
    <row r="28" customFormat="false" ht="15" hidden="false" customHeight="false" outlineLevel="0" collapsed="false">
      <c r="A28" s="10" t="s">
        <v>261</v>
      </c>
      <c r="B28" s="25" t="n">
        <f aca="false">MAX($H$8:$H$16)</f>
        <v>15675000.0000001</v>
      </c>
    </row>
    <row r="29" customFormat="false" ht="15" hidden="false" customHeight="false" outlineLevel="0" collapsed="false">
      <c r="A29" s="10" t="s">
        <v>262</v>
      </c>
      <c r="B29" s="25" t="n">
        <f aca="false">MIN($H$8:$H$16)</f>
        <v>1332.94332320767</v>
      </c>
    </row>
    <row r="30" customFormat="false" ht="15" hidden="false" customHeight="false" outlineLevel="0" collapsed="false">
      <c r="A30" s="10" t="s">
        <v>263</v>
      </c>
      <c r="B30" s="25" t="n">
        <f aca="false">'The bond'!$B$28+$H$15+$H$16</f>
        <v>12202.8497238623</v>
      </c>
    </row>
    <row r="31" customFormat="false" ht="15" hidden="false" customHeight="false" outlineLevel="0" collapsed="false">
      <c r="A31" s="10" t="s">
        <v>264</v>
      </c>
      <c r="B31" s="26" t="n">
        <f aca="false">$H$8/$B$26</f>
        <v>3.69913686806413</v>
      </c>
    </row>
    <row r="33" customFormat="false" ht="15" hidden="false" customHeight="false" outlineLevel="0" collapsed="false">
      <c r="A33" s="14" t="s">
        <v>265</v>
      </c>
    </row>
    <row r="36" customFormat="false" ht="15" hidden="false" customHeight="false" outlineLevel="0" collapsed="false">
      <c r="A36" s="3" t="s">
        <v>266</v>
      </c>
    </row>
    <row r="38" customFormat="false" ht="15" hidden="false" customHeight="false" outlineLevel="0" collapsed="false">
      <c r="A38" s="5" t="s">
        <v>267</v>
      </c>
      <c r="B38" s="6" t="s">
        <v>27</v>
      </c>
    </row>
    <row r="39" customFormat="false" ht="15" hidden="false" customHeight="false" outlineLevel="0" collapsed="false">
      <c r="A39" s="10" t="s">
        <v>268</v>
      </c>
      <c r="B39" s="25" t="n">
        <f aca="false">(MAX(RefLvl)-MIN(RefLvl))*SharesNew</f>
        <v>15675000.0000001</v>
      </c>
    </row>
    <row r="40" customFormat="false" ht="15" hidden="false" customHeight="false" outlineLevel="0" collapsed="false">
      <c r="A40" s="10" t="s">
        <v>269</v>
      </c>
      <c r="B40" s="25" t="n">
        <f aca="false">'The bond'!$E$8-'The bond'!$E$11</f>
        <v>1473879.38187174</v>
      </c>
    </row>
    <row r="41" customFormat="false" ht="15" hidden="false" customHeight="false" outlineLevel="0" collapsed="false">
      <c r="A41" s="10" t="s">
        <v>270</v>
      </c>
      <c r="B41" s="25" t="n">
        <f aca="false">'The bond'!$B$23-'The bond'!$B$18</f>
        <v>223672.370529048</v>
      </c>
    </row>
    <row r="42" customFormat="false" ht="15" hidden="false" customHeight="false" outlineLevel="0" collapsed="false">
      <c r="A42" s="10" t="s">
        <v>271</v>
      </c>
      <c r="B42" s="25" t="n">
        <f aca="false">ConcLin/10000*IssueSize</f>
        <v>209375</v>
      </c>
    </row>
    <row r="44" customFormat="false" ht="15" hidden="false" customHeight="false" outlineLevel="0" collapsed="false">
      <c r="A44" s="14" t="s">
        <v>272</v>
      </c>
    </row>
    <row r="47" customFormat="false" ht="15" hidden="false" customHeight="false" outlineLevel="0" collapsed="false">
      <c r="A47" s="3" t="s">
        <v>273</v>
      </c>
    </row>
    <row r="49" customFormat="false" ht="15" hidden="false" customHeight="false" outlineLevel="0" collapsed="false">
      <c r="A49" s="5" t="s">
        <v>77</v>
      </c>
      <c r="B49" s="6" t="s">
        <v>27</v>
      </c>
    </row>
    <row r="50" customFormat="false" ht="15" hidden="false" customHeight="false" outlineLevel="0" collapsed="false">
      <c r="A50" s="10" t="s">
        <v>274</v>
      </c>
      <c r="B50" s="19" t="n">
        <f aca="false">COUNT($H$8:$H$16)</f>
        <v>9</v>
      </c>
    </row>
    <row r="51" customFormat="false" ht="15" hidden="false" customHeight="false" outlineLevel="0" collapsed="false">
      <c r="A51" s="10" t="s">
        <v>275</v>
      </c>
      <c r="B51" s="26" t="n">
        <f aca="false">$H$10/$B$25</f>
        <v>0.842216789640995</v>
      </c>
    </row>
    <row r="53" customFormat="false" ht="15" hidden="false" customHeight="false" outlineLevel="0" collapsed="false">
      <c r="A53" s="14" t="s">
        <v>276</v>
      </c>
    </row>
  </sheetData>
  <autoFilter ref="A7:L16"/>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3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66"/>
    <col collapsed="false" customWidth="true" hidden="false" outlineLevel="0" max="3" min="2" style="0" width="22"/>
  </cols>
  <sheetData>
    <row r="1" customFormat="false" ht="19.7" hidden="false" customHeight="false" outlineLevel="0" collapsed="false">
      <c r="A1" s="1" t="s">
        <v>10</v>
      </c>
    </row>
    <row r="2" customFormat="false" ht="15" hidden="false" customHeight="false" outlineLevel="0" collapsed="false">
      <c r="A2" s="2" t="s">
        <v>277</v>
      </c>
    </row>
    <row r="5" customFormat="false" ht="15" hidden="false" customHeight="false" outlineLevel="0" collapsed="false">
      <c r="A5" s="3" t="s">
        <v>278</v>
      </c>
    </row>
    <row r="7" customFormat="false" ht="15" hidden="false" customHeight="false" outlineLevel="0" collapsed="false">
      <c r="A7" s="5" t="s">
        <v>77</v>
      </c>
      <c r="B7" s="6" t="s">
        <v>27</v>
      </c>
    </row>
    <row r="8" customFormat="false" ht="15" hidden="false" customHeight="false" outlineLevel="0" collapsed="false">
      <c r="A8" s="10" t="s">
        <v>279</v>
      </c>
      <c r="B8" s="28" t="n">
        <f aca="false">INDEX(ExeSpr,2)-INDEX(ExeSpr,3)</f>
        <v>6</v>
      </c>
    </row>
    <row r="9" customFormat="false" ht="15" hidden="false" customHeight="false" outlineLevel="0" collapsed="false">
      <c r="A9" s="10" t="s">
        <v>280</v>
      </c>
      <c r="B9" s="25" t="n">
        <f aca="false">INDEX(ExeBook,2)-INDEX(ExeBook,3)</f>
        <v>650000000</v>
      </c>
    </row>
    <row r="10" customFormat="false" ht="15" hidden="false" customHeight="false" outlineLevel="0" collapsed="false">
      <c r="A10" s="10" t="s">
        <v>281</v>
      </c>
      <c r="B10" s="25" t="n">
        <f aca="false">INDEX(ExeBook,3)-INDEX(ExeBook,4)</f>
        <v>100000000</v>
      </c>
    </row>
    <row r="11" customFormat="false" ht="15" hidden="false" customHeight="false" outlineLevel="0" collapsed="false">
      <c r="A11" s="10" t="s">
        <v>282</v>
      </c>
      <c r="B11" s="25" t="n">
        <f aca="false">$B$9-$B$10</f>
        <v>550000000</v>
      </c>
    </row>
    <row r="12" customFormat="false" ht="15" hidden="false" customHeight="false" outlineLevel="0" collapsed="false">
      <c r="A12" s="10" t="s">
        <v>283</v>
      </c>
      <c r="B12" s="24" t="n">
        <f aca="false">$B$9/$B$8</f>
        <v>108333333.333333</v>
      </c>
    </row>
    <row r="13" customFormat="false" ht="15" hidden="false" customHeight="false" outlineLevel="0" collapsed="false">
      <c r="A13" s="10" t="s">
        <v>284</v>
      </c>
      <c r="B13" s="24" t="n">
        <f aca="false">$B$11/$B$8</f>
        <v>91666666.6666667</v>
      </c>
    </row>
    <row r="14" customFormat="false" ht="15" hidden="false" customHeight="false" outlineLevel="0" collapsed="false">
      <c r="A14" s="10" t="s">
        <v>285</v>
      </c>
      <c r="B14" s="25" t="n">
        <f aca="false">(INDEX(ExeBook,2)-INDEX(ExeBook,1))/(INDEX(ExeSpr,1)-INDEX(ExeSpr,2))</f>
        <v>108823529.411765</v>
      </c>
    </row>
    <row r="15" customFormat="false" ht="15" hidden="false" customHeight="false" outlineLevel="0" collapsed="false">
      <c r="A15" s="10" t="s">
        <v>286</v>
      </c>
      <c r="B15" s="28" t="n">
        <f aca="false">(INDEX(ExeBook,4)-IssueSize)/$B$12</f>
        <v>21.6923076923077</v>
      </c>
    </row>
    <row r="16" customFormat="false" ht="15" hidden="false" customHeight="false" outlineLevel="0" collapsed="false">
      <c r="A16" s="10" t="s">
        <v>287</v>
      </c>
      <c r="B16" s="28" t="n">
        <f aca="false">ReofferSpr-$B$15</f>
        <v>100.307692307692</v>
      </c>
    </row>
    <row r="17" customFormat="false" ht="15" hidden="false" customHeight="false" outlineLevel="0" collapsed="false">
      <c r="A17" s="10" t="s">
        <v>288</v>
      </c>
      <c r="B17" s="28" t="n">
        <f aca="false">$B$16-'The bond'!$B$8</f>
        <v>-17.5048076923077</v>
      </c>
    </row>
    <row r="18" customFormat="false" ht="15" hidden="false" customHeight="false" outlineLevel="0" collapsed="false">
      <c r="A18" s="10" t="s">
        <v>289</v>
      </c>
      <c r="B18" s="24" t="n">
        <f aca="false">$B$15*PV01</f>
        <v>6433628.3170757</v>
      </c>
    </row>
    <row r="20" customFormat="false" ht="15" hidden="false" customHeight="false" outlineLevel="0" collapsed="false">
      <c r="A20" s="14" t="s">
        <v>290</v>
      </c>
    </row>
    <row r="21" customFormat="false" ht="15" hidden="false" customHeight="false" outlineLevel="0" collapsed="false">
      <c r="A21" s="14" t="s">
        <v>291</v>
      </c>
    </row>
    <row r="24" customFormat="false" ht="15" hidden="false" customHeight="false" outlineLevel="0" collapsed="false">
      <c r="A24" s="3" t="s">
        <v>292</v>
      </c>
    </row>
    <row r="26" customFormat="false" ht="23.85" hidden="false" customHeight="false" outlineLevel="0" collapsed="false">
      <c r="A26" s="5" t="s">
        <v>57</v>
      </c>
      <c r="B26" s="6" t="s">
        <v>293</v>
      </c>
    </row>
    <row r="27" customFormat="false" ht="15" hidden="false" customHeight="false" outlineLevel="0" collapsed="false">
      <c r="A27" s="10" t="str">
        <f aca="false">INDEX(AccLbl,1)</f>
        <v>Long-only asset managers</v>
      </c>
      <c r="B27" s="27" t="n">
        <f aca="false">INDEX(Retain,1)</f>
        <v>0.94</v>
      </c>
    </row>
    <row r="28" customFormat="false" ht="15" hidden="false" customHeight="false" outlineLevel="0" collapsed="false">
      <c r="A28" s="10" t="str">
        <f aca="false">INDEX(AccLbl,2)</f>
        <v>Insurers and pension funds</v>
      </c>
      <c r="B28" s="27" t="n">
        <f aca="false">INDEX(Retain,2)</f>
        <v>0.97</v>
      </c>
    </row>
    <row r="29" customFormat="false" ht="15" hidden="false" customHeight="false" outlineLevel="0" collapsed="false">
      <c r="A29" s="10" t="str">
        <f aca="false">INDEX(AccLbl,3)</f>
        <v>Bank treasuries</v>
      </c>
      <c r="B29" s="27" t="n">
        <f aca="false">INDEX(Retain,3)</f>
        <v>0.88</v>
      </c>
    </row>
    <row r="30" customFormat="false" ht="15" hidden="false" customHeight="false" outlineLevel="0" collapsed="false">
      <c r="A30" s="10" t="str">
        <f aca="false">INDEX(AccLbl,4)</f>
        <v>Hedge funds</v>
      </c>
      <c r="B30" s="27" t="n">
        <f aca="false">INDEX(Retain,4)</f>
        <v>0.21</v>
      </c>
    </row>
    <row r="32" customFormat="false" ht="15" hidden="false" customHeight="false" outlineLevel="0" collapsed="false">
      <c r="A32" s="10" t="s">
        <v>294</v>
      </c>
      <c r="B32" s="32" t="n">
        <f aca="false">'The allocation'!$B$19</f>
        <v>9.58772310385507</v>
      </c>
    </row>
    <row r="33" customFormat="false" ht="15" hidden="false" customHeight="false" outlineLevel="0" collapsed="false">
      <c r="A33" s="14" t="s">
        <v>295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9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7"/>
    <col collapsed="false" customWidth="true" hidden="false" outlineLevel="0" max="2" min="2" style="0" width="78"/>
    <col collapsed="false" customWidth="true" hidden="false" outlineLevel="0" max="4" min="3" style="0" width="20"/>
    <col collapsed="false" customWidth="true" hidden="false" outlineLevel="0" max="5" min="5" style="0" width="16"/>
    <col collapsed="false" customWidth="true" hidden="false" outlineLevel="0" max="6" min="6" style="0" width="11"/>
  </cols>
  <sheetData>
    <row r="1" customFormat="false" ht="19.7" hidden="false" customHeight="false" outlineLevel="0" collapsed="false">
      <c r="A1" s="1" t="s">
        <v>296</v>
      </c>
    </row>
    <row r="2" customFormat="false" ht="15" hidden="false" customHeight="false" outlineLevel="0" collapsed="false">
      <c r="A2" s="2" t="s">
        <v>297</v>
      </c>
    </row>
    <row r="5" customFormat="false" ht="15" hidden="false" customHeight="false" outlineLevel="0" collapsed="false">
      <c r="A5" s="14" t="s">
        <v>298</v>
      </c>
    </row>
    <row r="7" customFormat="false" ht="15" hidden="false" customHeight="false" outlineLevel="0" collapsed="false">
      <c r="A7" s="5" t="s">
        <v>299</v>
      </c>
      <c r="B7" s="6" t="s">
        <v>300</v>
      </c>
      <c r="C7" s="6" t="s">
        <v>301</v>
      </c>
      <c r="D7" s="6" t="s">
        <v>302</v>
      </c>
      <c r="E7" s="6" t="s">
        <v>303</v>
      </c>
      <c r="F7" s="6" t="s">
        <v>304</v>
      </c>
    </row>
    <row r="8" customFormat="false" ht="15" hidden="false" customHeight="false" outlineLevel="0" collapsed="false">
      <c r="A8" s="10" t="s">
        <v>305</v>
      </c>
      <c r="B8" s="10" t="s">
        <v>306</v>
      </c>
      <c r="C8" s="25" t="n">
        <v>15675000</v>
      </c>
      <c r="D8" s="25" t="n">
        <f aca="false">'The register'!$H$8</f>
        <v>15675000.0000001</v>
      </c>
      <c r="E8" s="21" t="n">
        <f aca="false">D8-C8</f>
        <v>0</v>
      </c>
      <c r="F8" s="36" t="str">
        <f aca="false">IF(ABS(E8)&lt;=0.5,"PASS","FAIL")</f>
        <v>PASS</v>
      </c>
    </row>
    <row r="9" customFormat="false" ht="15" hidden="false" customHeight="false" outlineLevel="0" collapsed="false">
      <c r="A9" s="10" t="s">
        <v>305</v>
      </c>
      <c r="B9" s="10" t="s">
        <v>307</v>
      </c>
      <c r="C9" s="25" t="n">
        <v>5694445</v>
      </c>
      <c r="D9" s="25" t="n">
        <f aca="false">'The register'!$H$9</f>
        <v>5694445.48915637</v>
      </c>
      <c r="E9" s="21" t="n">
        <f aca="false">D9-C9</f>
        <v>0.489156370982528</v>
      </c>
      <c r="F9" s="36" t="str">
        <f aca="false">IF(ABS(E9)&lt;=0.5,"PASS","FAIL")</f>
        <v>PASS</v>
      </c>
    </row>
    <row r="10" customFormat="false" ht="15" hidden="false" customHeight="false" outlineLevel="0" collapsed="false">
      <c r="A10" s="10" t="s">
        <v>305</v>
      </c>
      <c r="B10" s="10" t="s">
        <v>308</v>
      </c>
      <c r="C10" s="25" t="n">
        <v>1473880</v>
      </c>
      <c r="D10" s="25" t="n">
        <f aca="false">'The register'!$H$10</f>
        <v>1473879.38187174</v>
      </c>
      <c r="E10" s="21" t="n">
        <f aca="false">D10-C10</f>
        <v>-0.618128258734942</v>
      </c>
      <c r="F10" s="36" t="str">
        <f aca="false">IF(ABS(E10)&lt;=1,"PASS","FAIL")</f>
        <v>PASS</v>
      </c>
    </row>
    <row r="11" customFormat="false" ht="15" hidden="false" customHeight="false" outlineLevel="0" collapsed="false">
      <c r="A11" s="10" t="s">
        <v>305</v>
      </c>
      <c r="B11" s="10" t="s">
        <v>309</v>
      </c>
      <c r="C11" s="25" t="n">
        <v>388586</v>
      </c>
      <c r="D11" s="25" t="n">
        <f aca="false">'The register'!$H$11</f>
        <v>388585.680751141</v>
      </c>
      <c r="E11" s="21" t="n">
        <f aca="false">D11-C11</f>
        <v>-0.319248858839273</v>
      </c>
      <c r="F11" s="36" t="str">
        <f aca="false">IF(ABS(E11)&lt;=0.5,"PASS","FAIL")</f>
        <v>PASS</v>
      </c>
    </row>
    <row r="12" customFormat="false" ht="15" hidden="false" customHeight="false" outlineLevel="0" collapsed="false">
      <c r="A12" s="10" t="s">
        <v>305</v>
      </c>
      <c r="B12" s="10" t="s">
        <v>310</v>
      </c>
      <c r="C12" s="25" t="n">
        <v>7686414</v>
      </c>
      <c r="D12" s="25" t="n">
        <f aca="false">'The register'!$I$11</f>
        <v>7686414.31924887</v>
      </c>
      <c r="E12" s="21" t="n">
        <f aca="false">D12-C12</f>
        <v>0.31924887187779</v>
      </c>
      <c r="F12" s="36" t="str">
        <f aca="false">IF(ABS(E12)&lt;=0.5,"PASS","FAIL")</f>
        <v>PASS</v>
      </c>
    </row>
    <row r="13" customFormat="false" ht="15" hidden="false" customHeight="false" outlineLevel="0" collapsed="false">
      <c r="A13" s="10" t="s">
        <v>305</v>
      </c>
      <c r="B13" s="10" t="s">
        <v>311</v>
      </c>
      <c r="C13" s="25" t="n">
        <v>223672</v>
      </c>
      <c r="D13" s="25" t="n">
        <f aca="false">'The register'!$H$12</f>
        <v>223672.370529048</v>
      </c>
      <c r="E13" s="21" t="n">
        <f aca="false">D13-C13</f>
        <v>0.370529047911987</v>
      </c>
      <c r="F13" s="36" t="str">
        <f aca="false">IF(ABS(E13)&lt;=0.5,"PASS","FAIL")</f>
        <v>PASS</v>
      </c>
    </row>
    <row r="14" customFormat="false" ht="15" hidden="false" customHeight="false" outlineLevel="0" collapsed="false">
      <c r="A14" s="10" t="s">
        <v>305</v>
      </c>
      <c r="B14" s="10" t="s">
        <v>312</v>
      </c>
      <c r="C14" s="25" t="n">
        <v>175000</v>
      </c>
      <c r="D14" s="25" t="n">
        <f aca="false">'The register'!$H$13</f>
        <v>174596.63742587</v>
      </c>
      <c r="E14" s="21" t="n">
        <f aca="false">D14-C14</f>
        <v>-403.36257413018</v>
      </c>
      <c r="F14" s="36" t="str">
        <f aca="false">IF(ABS(E14)&lt;=500,"PASS","FAIL")</f>
        <v>PASS</v>
      </c>
    </row>
    <row r="15" customFormat="false" ht="15" hidden="false" customHeight="false" outlineLevel="0" collapsed="false">
      <c r="A15" s="10" t="s">
        <v>305</v>
      </c>
      <c r="B15" s="10" t="s">
        <v>313</v>
      </c>
      <c r="C15" s="25" t="n">
        <v>47900000</v>
      </c>
      <c r="D15" s="25" t="n">
        <f aca="false">'The register'!$I$13</f>
        <v>47938615.5192754</v>
      </c>
      <c r="E15" s="21" t="n">
        <f aca="false">D15-C15</f>
        <v>38615.5192753673</v>
      </c>
      <c r="F15" s="36" t="str">
        <f aca="false">IF(ABS(E15)&lt;=50000,"PASS","FAIL")</f>
        <v>PASS</v>
      </c>
    </row>
    <row r="16" customFormat="false" ht="15" hidden="false" customHeight="false" outlineLevel="0" collapsed="false">
      <c r="A16" s="10" t="s">
        <v>305</v>
      </c>
      <c r="B16" s="10" t="s">
        <v>314</v>
      </c>
      <c r="C16" s="25" t="n">
        <v>8898</v>
      </c>
      <c r="D16" s="25" t="n">
        <f aca="false">'The bond'!$B$28</f>
        <v>8897.57107680682</v>
      </c>
      <c r="E16" s="21" t="n">
        <f aca="false">D16-C16</f>
        <v>-0.428923193179799</v>
      </c>
      <c r="F16" s="36" t="str">
        <f aca="false">IF(ABS(E16)&lt;=0.5,"PASS","FAIL")</f>
        <v>PASS</v>
      </c>
    </row>
    <row r="17" customFormat="false" ht="15" hidden="false" customHeight="false" outlineLevel="0" collapsed="false">
      <c r="A17" s="10" t="s">
        <v>315</v>
      </c>
      <c r="B17" s="10" t="s">
        <v>316</v>
      </c>
      <c r="C17" s="37" t="n">
        <v>9363.52</v>
      </c>
      <c r="D17" s="37" t="n">
        <f aca="false">'The register'!$H$14</f>
        <v>9363.52132826578</v>
      </c>
      <c r="E17" s="21" t="n">
        <f aca="false">D17-C17</f>
        <v>0.00132826577828382</v>
      </c>
      <c r="F17" s="36" t="str">
        <f aca="false">IF(ABS(E17)&lt;=0.005,"PASS","FAIL")</f>
        <v>PASS</v>
      </c>
    </row>
    <row r="18" customFormat="false" ht="15" hidden="false" customHeight="false" outlineLevel="0" collapsed="false">
      <c r="A18" s="10" t="s">
        <v>305</v>
      </c>
      <c r="B18" s="10" t="s">
        <v>317</v>
      </c>
      <c r="C18" s="25" t="n">
        <v>1972</v>
      </c>
      <c r="D18" s="25" t="n">
        <f aca="false">'The register'!$H$15</f>
        <v>1972.33532384783</v>
      </c>
      <c r="E18" s="21" t="n">
        <f aca="false">D18-C18</f>
        <v>0.335323847830296</v>
      </c>
      <c r="F18" s="36" t="str">
        <f aca="false">IF(ABS(E18)&lt;=0.5,"PASS","FAIL")</f>
        <v>PASS</v>
      </c>
    </row>
    <row r="19" customFormat="false" ht="15" hidden="false" customHeight="false" outlineLevel="0" collapsed="false">
      <c r="A19" s="10" t="s">
        <v>305</v>
      </c>
      <c r="B19" s="10" t="s">
        <v>318</v>
      </c>
      <c r="C19" s="25" t="n">
        <v>1333</v>
      </c>
      <c r="D19" s="25" t="n">
        <f aca="false">'The register'!$H$16</f>
        <v>1332.94332320767</v>
      </c>
      <c r="E19" s="21" t="n">
        <f aca="false">D19-C19</f>
        <v>-0.0566767923301086</v>
      </c>
      <c r="F19" s="36" t="str">
        <f aca="false">IF(ABS(E19)&lt;=0.5,"PASS","FAIL")</f>
        <v>PASS</v>
      </c>
    </row>
    <row r="20" customFormat="false" ht="15" hidden="false" customHeight="false" outlineLevel="0" collapsed="false">
      <c r="A20" s="10" t="s">
        <v>305</v>
      </c>
      <c r="B20" s="10" t="s">
        <v>319</v>
      </c>
      <c r="C20" s="25" t="n">
        <v>12203</v>
      </c>
      <c r="D20" s="25" t="n">
        <f aca="false">'The register'!$B$30</f>
        <v>12202.8497238623</v>
      </c>
      <c r="E20" s="21" t="n">
        <f aca="false">D20-C20</f>
        <v>-0.150276137679612</v>
      </c>
      <c r="F20" s="36" t="str">
        <f aca="false">IF(ABS(E20)&lt;=500,"PASS","FAIL")</f>
        <v>PASS</v>
      </c>
    </row>
    <row r="21" customFormat="false" ht="15" hidden="false" customHeight="false" outlineLevel="0" collapsed="false">
      <c r="A21" s="10" t="s">
        <v>305</v>
      </c>
      <c r="B21" s="10" t="s">
        <v>258</v>
      </c>
      <c r="C21" s="25" t="n">
        <v>1750000</v>
      </c>
      <c r="D21" s="25" t="n">
        <f aca="false">FeeBond</f>
        <v>1750000</v>
      </c>
      <c r="E21" s="21" t="n">
        <f aca="false">D21-C21</f>
        <v>0</v>
      </c>
      <c r="F21" s="36" t="str">
        <f aca="false">IF(ABS(E21)&lt;=0.5,"PASS","FAIL")</f>
        <v>PASS</v>
      </c>
    </row>
    <row r="22" customFormat="false" ht="15" hidden="false" customHeight="false" outlineLevel="0" collapsed="false">
      <c r="A22" s="10" t="s">
        <v>305</v>
      </c>
      <c r="B22" s="10" t="s">
        <v>259</v>
      </c>
      <c r="C22" s="25" t="n">
        <v>4237475</v>
      </c>
      <c r="D22" s="25" t="n">
        <f aca="false">FeePlacement</f>
        <v>4237475</v>
      </c>
      <c r="E22" s="21" t="n">
        <f aca="false">D22-C22</f>
        <v>0</v>
      </c>
      <c r="F22" s="36" t="str">
        <f aca="false">IF(ABS(E22)&lt;=0.5,"PASS","FAIL")</f>
        <v>PASS</v>
      </c>
    </row>
    <row r="23" customFormat="false" ht="15" hidden="false" customHeight="false" outlineLevel="0" collapsed="false">
      <c r="A23" s="10" t="s">
        <v>305</v>
      </c>
      <c r="B23" s="10" t="s">
        <v>320</v>
      </c>
      <c r="C23" s="26" t="n">
        <v>3.7</v>
      </c>
      <c r="D23" s="26" t="n">
        <f aca="false">'The register'!$B$31</f>
        <v>3.69913686806413</v>
      </c>
      <c r="E23" s="21" t="n">
        <f aca="false">D23-C23</f>
        <v>-0.000863131935869177</v>
      </c>
      <c r="F23" s="36" t="str">
        <f aca="false">IF(ABS(E23)&lt;=0.005,"PASS","FAIL")</f>
        <v>PASS</v>
      </c>
    </row>
    <row r="24" customFormat="false" ht="15" hidden="false" customHeight="false" outlineLevel="0" collapsed="false">
      <c r="A24" s="10" t="s">
        <v>305</v>
      </c>
      <c r="B24" s="10" t="s">
        <v>321</v>
      </c>
      <c r="C24" s="25" t="n">
        <v>15675000</v>
      </c>
      <c r="D24" s="25" t="n">
        <f aca="false">'The register'!$B$39</f>
        <v>15675000.0000001</v>
      </c>
      <c r="E24" s="21" t="n">
        <f aca="false">D24-C24</f>
        <v>0</v>
      </c>
      <c r="F24" s="36" t="str">
        <f aca="false">IF(ABS(E24)&lt;=0.5,"PASS","FAIL")</f>
        <v>PASS</v>
      </c>
    </row>
    <row r="25" customFormat="false" ht="15" hidden="false" customHeight="false" outlineLevel="0" collapsed="false">
      <c r="A25" s="10" t="s">
        <v>305</v>
      </c>
      <c r="B25" s="10" t="s">
        <v>322</v>
      </c>
      <c r="C25" s="25" t="n">
        <v>1473880</v>
      </c>
      <c r="D25" s="25" t="n">
        <f aca="false">'The register'!$B$40</f>
        <v>1473879.38187174</v>
      </c>
      <c r="E25" s="21" t="n">
        <f aca="false">D25-C25</f>
        <v>-0.618128258734942</v>
      </c>
      <c r="F25" s="36" t="str">
        <f aca="false">IF(ABS(E25)&lt;=1,"PASS","FAIL")</f>
        <v>PASS</v>
      </c>
    </row>
    <row r="26" customFormat="false" ht="15" hidden="false" customHeight="false" outlineLevel="0" collapsed="false">
      <c r="A26" s="10" t="s">
        <v>305</v>
      </c>
      <c r="B26" s="10" t="s">
        <v>323</v>
      </c>
      <c r="C26" s="25" t="n">
        <v>223672</v>
      </c>
      <c r="D26" s="25" t="n">
        <f aca="false">'The register'!$B$41</f>
        <v>223672.370529048</v>
      </c>
      <c r="E26" s="21" t="n">
        <f aca="false">D26-C26</f>
        <v>0.370529047911987</v>
      </c>
      <c r="F26" s="36" t="str">
        <f aca="false">IF(ABS(E26)&lt;=0.5,"PASS","FAIL")</f>
        <v>PASS</v>
      </c>
    </row>
    <row r="27" customFormat="false" ht="15" hidden="false" customHeight="false" outlineLevel="0" collapsed="false">
      <c r="A27" s="10" t="s">
        <v>305</v>
      </c>
      <c r="B27" s="10" t="s">
        <v>324</v>
      </c>
      <c r="C27" s="25" t="n">
        <v>209375</v>
      </c>
      <c r="D27" s="25" t="n">
        <f aca="false">'The register'!$B$42</f>
        <v>209375</v>
      </c>
      <c r="E27" s="21" t="n">
        <f aca="false">D27-C27</f>
        <v>0</v>
      </c>
      <c r="F27" s="36" t="str">
        <f aca="false">IF(ABS(E27)&lt;=0.5,"PASS","FAIL")</f>
        <v>PASS</v>
      </c>
    </row>
    <row r="28" customFormat="false" ht="15" hidden="false" customHeight="false" outlineLevel="0" collapsed="false">
      <c r="A28" s="10" t="s">
        <v>305</v>
      </c>
      <c r="B28" s="10" t="s">
        <v>325</v>
      </c>
      <c r="C28" s="20" t="n">
        <v>5.93171</v>
      </c>
      <c r="D28" s="20" t="n">
        <f aca="false">Annuity</f>
        <v>5.93171405120455</v>
      </c>
      <c r="E28" s="21" t="n">
        <f aca="false">D28-C28</f>
        <v>4.05120454782804E-006</v>
      </c>
      <c r="F28" s="36" t="str">
        <f aca="false">IF(ABS(E28)&lt;=0.000005,"PASS","FAIL")</f>
        <v>PASS</v>
      </c>
    </row>
    <row r="29" customFormat="false" ht="15" hidden="false" customHeight="false" outlineLevel="0" collapsed="false">
      <c r="A29" s="10" t="s">
        <v>305</v>
      </c>
      <c r="B29" s="10" t="s">
        <v>326</v>
      </c>
      <c r="C29" s="37" t="n">
        <v>296586</v>
      </c>
      <c r="D29" s="37" t="n">
        <f aca="false">PV01</f>
        <v>296585.702560227</v>
      </c>
      <c r="E29" s="21" t="n">
        <f aca="false">D29-C29</f>
        <v>-0.297439772635698</v>
      </c>
      <c r="F29" s="36" t="str">
        <f aca="false">IF(ABS(E29)&lt;=0.5,"PASS","FAIL")</f>
        <v>PASS</v>
      </c>
    </row>
    <row r="30" customFormat="false" ht="15" hidden="false" customHeight="false" outlineLevel="0" collapsed="false">
      <c r="A30" s="10" t="s">
        <v>305</v>
      </c>
      <c r="B30" s="10" t="s">
        <v>327</v>
      </c>
      <c r="C30" s="25" t="n">
        <v>9500000</v>
      </c>
      <c r="D30" s="25" t="n">
        <f aca="false">'The two conversions'!$B$40</f>
        <v>9500000</v>
      </c>
      <c r="E30" s="21" t="n">
        <f aca="false">D30-C30</f>
        <v>0</v>
      </c>
      <c r="F30" s="36" t="str">
        <f aca="false">IF(ABS(E30)&lt;=0.5,"PASS","FAIL")</f>
        <v>PASS</v>
      </c>
    </row>
    <row r="31" customFormat="false" ht="15" hidden="false" customHeight="false" outlineLevel="0" collapsed="false">
      <c r="A31" s="10" t="s">
        <v>305</v>
      </c>
      <c r="B31" s="10" t="s">
        <v>328</v>
      </c>
      <c r="C31" s="25" t="n">
        <v>95000</v>
      </c>
      <c r="D31" s="25" t="n">
        <f aca="false">'The two conversions'!$B$41</f>
        <v>95000</v>
      </c>
      <c r="E31" s="21" t="n">
        <f aca="false">D31-C31</f>
        <v>0</v>
      </c>
      <c r="F31" s="36" t="str">
        <f aca="false">IF(ABS(E31)&lt;=0.5,"PASS","FAIL")</f>
        <v>PASS</v>
      </c>
    </row>
    <row r="32" customFormat="false" ht="15" hidden="false" customHeight="false" outlineLevel="0" collapsed="false">
      <c r="A32" s="10" t="s">
        <v>329</v>
      </c>
      <c r="B32" s="10" t="s">
        <v>330</v>
      </c>
      <c r="C32" s="26" t="n">
        <v>117.81</v>
      </c>
      <c r="D32" s="26" t="n">
        <f aca="false">'The bond'!$B$8</f>
        <v>117.8125</v>
      </c>
      <c r="E32" s="21" t="n">
        <f aca="false">D32-C32</f>
        <v>0.00249999999999773</v>
      </c>
      <c r="F32" s="36" t="str">
        <f aca="false">IF(ABS(E32)&lt;=0.005,"PASS","FAIL")</f>
        <v>PASS</v>
      </c>
    </row>
    <row r="33" customFormat="false" ht="15" hidden="false" customHeight="false" outlineLevel="0" collapsed="false">
      <c r="A33" s="10" t="s">
        <v>329</v>
      </c>
      <c r="B33" s="10" t="s">
        <v>331</v>
      </c>
      <c r="C33" s="26" t="n">
        <v>4.19</v>
      </c>
      <c r="D33" s="26" t="n">
        <f aca="false">'The bond'!$C$8</f>
        <v>4.1875</v>
      </c>
      <c r="E33" s="21" t="n">
        <f aca="false">D33-C33</f>
        <v>-0.00250000000000039</v>
      </c>
      <c r="F33" s="36" t="str">
        <f aca="false">IF(ABS(E33)&lt;=0.005,"PASS","FAIL")</f>
        <v>PASS</v>
      </c>
    </row>
    <row r="34" customFormat="false" ht="15" hidden="false" customHeight="false" outlineLevel="0" collapsed="false">
      <c r="A34" s="10" t="s">
        <v>329</v>
      </c>
      <c r="B34" s="10" t="s">
        <v>332</v>
      </c>
      <c r="C34" s="26" t="n">
        <v>117.84</v>
      </c>
      <c r="D34" s="26" t="n">
        <f aca="false">'The bond'!$B$9</f>
        <v>117.844071047584</v>
      </c>
      <c r="E34" s="21" t="n">
        <f aca="false">D34-C34</f>
        <v>0.00407104758400578</v>
      </c>
      <c r="F34" s="36" t="str">
        <f aca="false">IF(ABS(E34)&lt;=0.005,"PASS","FAIL")</f>
        <v>PASS</v>
      </c>
    </row>
    <row r="35" customFormat="false" ht="15" hidden="false" customHeight="false" outlineLevel="0" collapsed="false">
      <c r="A35" s="10" t="s">
        <v>329</v>
      </c>
      <c r="B35" s="10" t="s">
        <v>333</v>
      </c>
      <c r="C35" s="26" t="n">
        <v>4.16</v>
      </c>
      <c r="D35" s="26" t="n">
        <f aca="false">'The bond'!$C$9</f>
        <v>4.15592895241599</v>
      </c>
      <c r="E35" s="21" t="n">
        <f aca="false">D35-C35</f>
        <v>-0.00407104758400934</v>
      </c>
      <c r="F35" s="36" t="str">
        <f aca="false">IF(ABS(E35)&lt;=0.005,"PASS","FAIL")</f>
        <v>PASS</v>
      </c>
    </row>
    <row r="36" customFormat="false" ht="15" hidden="false" customHeight="false" outlineLevel="0" collapsed="false">
      <c r="A36" s="10" t="s">
        <v>329</v>
      </c>
      <c r="B36" s="10" t="s">
        <v>334</v>
      </c>
      <c r="C36" s="26" t="n">
        <v>120.32</v>
      </c>
      <c r="D36" s="26" t="n">
        <f aca="false">'The bond'!$B$10</f>
        <v>120.324663166297</v>
      </c>
      <c r="E36" s="21" t="n">
        <f aca="false">D36-C36</f>
        <v>0.00466316629703556</v>
      </c>
      <c r="F36" s="36" t="str">
        <f aca="false">IF(ABS(E36)&lt;=0.005,"PASS","FAIL")</f>
        <v>PASS</v>
      </c>
    </row>
    <row r="37" customFormat="false" ht="15" hidden="false" customHeight="false" outlineLevel="0" collapsed="false">
      <c r="A37" s="10" t="s">
        <v>329</v>
      </c>
      <c r="B37" s="10" t="s">
        <v>335</v>
      </c>
      <c r="C37" s="26" t="n">
        <v>1.68</v>
      </c>
      <c r="D37" s="26" t="n">
        <f aca="false">'The bond'!$C$10</f>
        <v>1.67533683370297</v>
      </c>
      <c r="E37" s="21" t="n">
        <f aca="false">D37-C37</f>
        <v>-0.00466316629702868</v>
      </c>
      <c r="F37" s="36" t="str">
        <f aca="false">IF(ABS(E37)&lt;=0.005,"PASS","FAIL")</f>
        <v>PASS</v>
      </c>
    </row>
    <row r="38" customFormat="false" ht="15" hidden="false" customHeight="false" outlineLevel="0" collapsed="false">
      <c r="A38" s="10" t="s">
        <v>329</v>
      </c>
      <c r="B38" s="10" t="s">
        <v>336</v>
      </c>
      <c r="C38" s="26" t="n">
        <v>122.78</v>
      </c>
      <c r="D38" s="26" t="n">
        <f aca="false">'The bond'!$B$11</f>
        <v>122.78198898463</v>
      </c>
      <c r="E38" s="21" t="n">
        <f aca="false">D38-C38</f>
        <v>0.00198898462980424</v>
      </c>
      <c r="F38" s="36" t="str">
        <f aca="false">IF(ABS(E38)&lt;=0.005,"PASS","FAIL")</f>
        <v>PASS</v>
      </c>
    </row>
    <row r="39" customFormat="false" ht="15" hidden="false" customHeight="false" outlineLevel="0" collapsed="false">
      <c r="A39" s="10" t="s">
        <v>329</v>
      </c>
      <c r="B39" s="10" t="s">
        <v>337</v>
      </c>
      <c r="C39" s="26" t="n">
        <v>-0.78</v>
      </c>
      <c r="D39" s="26" t="n">
        <f aca="false">'The bond'!$C$11</f>
        <v>-0.781988984629805</v>
      </c>
      <c r="E39" s="21" t="n">
        <f aca="false">D39-C39</f>
        <v>-0.00198898462980535</v>
      </c>
      <c r="F39" s="36" t="str">
        <f aca="false">IF(ABS(E39)&lt;=0.005,"PASS","FAIL")</f>
        <v>PASS</v>
      </c>
    </row>
    <row r="40" customFormat="false" ht="15" hidden="false" customHeight="false" outlineLevel="0" collapsed="false">
      <c r="A40" s="10" t="s">
        <v>338</v>
      </c>
      <c r="B40" s="10" t="s">
        <v>339</v>
      </c>
      <c r="C40" s="25" t="n">
        <v>3611953</v>
      </c>
      <c r="D40" s="25" t="n">
        <f aca="false">'The bond'!$B$19</f>
        <v>3611952.62947095</v>
      </c>
      <c r="E40" s="21" t="n">
        <f aca="false">D40-C40</f>
        <v>-0.370529048144817</v>
      </c>
      <c r="F40" s="36" t="str">
        <f aca="false">IF(ABS(E40)&lt;=0.5,"PASS","FAIL")</f>
        <v>PASS</v>
      </c>
    </row>
    <row r="41" customFormat="false" ht="15" hidden="false" customHeight="false" outlineLevel="0" collapsed="false">
      <c r="A41" s="10" t="s">
        <v>338</v>
      </c>
      <c r="B41" s="10" t="s">
        <v>340</v>
      </c>
      <c r="C41" s="25" t="n">
        <v>2138073</v>
      </c>
      <c r="D41" s="25" t="n">
        <f aca="false">'The bond'!$E$11</f>
        <v>2138073.24759921</v>
      </c>
      <c r="E41" s="21" t="n">
        <f aca="false">D41-C41</f>
        <v>0.247599210590124</v>
      </c>
      <c r="F41" s="36" t="str">
        <f aca="false">IF(ABS(E41)&lt;=0.5,"PASS","FAIL")</f>
        <v>PASS</v>
      </c>
    </row>
    <row r="42" customFormat="false" ht="15" hidden="false" customHeight="false" outlineLevel="0" collapsed="false">
      <c r="A42" s="10" t="s">
        <v>338</v>
      </c>
      <c r="B42" s="10" t="s">
        <v>341</v>
      </c>
      <c r="C42" s="18" t="n">
        <v>0.3438</v>
      </c>
      <c r="D42" s="18" t="n">
        <f aca="false">'The bond'!$B$20</f>
        <v>0.343845215282589</v>
      </c>
      <c r="E42" s="21" t="n">
        <f aca="false">D42-C42</f>
        <v>4.52152825887731E-005</v>
      </c>
      <c r="F42" s="36" t="str">
        <f aca="false">IF(ABS(E42)&lt;=0.00005,"PASS","FAIL")</f>
        <v>PASS</v>
      </c>
    </row>
    <row r="43" customFormat="false" ht="15" hidden="false" customHeight="false" outlineLevel="0" collapsed="false">
      <c r="A43" s="10" t="s">
        <v>305</v>
      </c>
      <c r="B43" s="10" t="s">
        <v>342</v>
      </c>
      <c r="C43" s="18" t="n">
        <v>0.00722</v>
      </c>
      <c r="D43" s="18" t="n">
        <f aca="false">'The bond'!$B$21</f>
        <v>0.0072239052589419</v>
      </c>
      <c r="E43" s="21" t="n">
        <f aca="false">D43-C43</f>
        <v>3.90525894190374E-006</v>
      </c>
      <c r="F43" s="36" t="str">
        <f aca="false">IF(ABS(E43)&lt;=0.000005,"PASS","FAIL")</f>
        <v>PASS</v>
      </c>
    </row>
    <row r="44" customFormat="false" ht="15" hidden="false" customHeight="false" outlineLevel="0" collapsed="false">
      <c r="A44" s="10" t="s">
        <v>343</v>
      </c>
      <c r="B44" s="10" t="s">
        <v>126</v>
      </c>
      <c r="C44" s="25" t="n">
        <v>1035381</v>
      </c>
      <c r="D44" s="25" t="n">
        <f aca="false">'The bond'!$B$37</f>
        <v>1035381.44218761</v>
      </c>
      <c r="E44" s="21" t="n">
        <f aca="false">D44-C44</f>
        <v>0.442187611944973</v>
      </c>
      <c r="F44" s="36" t="str">
        <f aca="false">IF(ABS(E44)&lt;=0.5,"PASS","FAIL")</f>
        <v>PASS</v>
      </c>
    </row>
    <row r="45" customFormat="false" ht="15" hidden="false" customHeight="false" outlineLevel="0" collapsed="false">
      <c r="A45" s="10" t="s">
        <v>343</v>
      </c>
      <c r="B45" s="10" t="s">
        <v>127</v>
      </c>
      <c r="C45" s="25" t="n">
        <v>1036714</v>
      </c>
      <c r="D45" s="25" t="n">
        <f aca="false">'The bond'!$B$38</f>
        <v>1036714.38551082</v>
      </c>
      <c r="E45" s="21" t="n">
        <f aca="false">D45-C45</f>
        <v>0.385510819614865</v>
      </c>
      <c r="F45" s="36" t="str">
        <f aca="false">IF(ABS(E45)&lt;=0.5,"PASS","FAIL")</f>
        <v>PASS</v>
      </c>
    </row>
    <row r="46" customFormat="false" ht="15" hidden="false" customHeight="false" outlineLevel="0" collapsed="false">
      <c r="A46" s="10" t="s">
        <v>343</v>
      </c>
      <c r="B46" s="10" t="s">
        <v>129</v>
      </c>
      <c r="C46" s="18" t="n">
        <v>0.8358</v>
      </c>
      <c r="D46" s="18" t="n">
        <f aca="false">'The bond'!$B$40</f>
        <v>0.835820895522388</v>
      </c>
      <c r="E46" s="21" t="n">
        <f aca="false">D46-C46</f>
        <v>2.08955223880425E-005</v>
      </c>
      <c r="F46" s="36" t="str">
        <f aca="false">IF(ABS(E46)&lt;=0.00005,"PASS","FAIL")</f>
        <v>PASS</v>
      </c>
    </row>
    <row r="47" customFormat="false" ht="15" hidden="false" customHeight="false" outlineLevel="0" collapsed="false">
      <c r="A47" s="10" t="s">
        <v>344</v>
      </c>
      <c r="B47" s="10" t="s">
        <v>130</v>
      </c>
      <c r="C47" s="28" t="n">
        <v>108</v>
      </c>
      <c r="D47" s="28" t="n">
        <f aca="false">'The bond'!$B$45</f>
        <v>108</v>
      </c>
      <c r="E47" s="21" t="n">
        <f aca="false">D47-C47</f>
        <v>0</v>
      </c>
      <c r="F47" s="36" t="str">
        <f aca="false">IF(ABS(E47)&lt;=0.005,"PASS","FAIL")</f>
        <v>PASS</v>
      </c>
    </row>
    <row r="48" customFormat="false" ht="15" hidden="false" customHeight="false" outlineLevel="0" collapsed="false">
      <c r="A48" s="10" t="s">
        <v>344</v>
      </c>
      <c r="B48" s="10" t="s">
        <v>131</v>
      </c>
      <c r="C48" s="28" t="n">
        <v>90</v>
      </c>
      <c r="D48" s="28" t="n">
        <f aca="false">'The bond'!$B$46</f>
        <v>90</v>
      </c>
      <c r="E48" s="21" t="n">
        <f aca="false">D48-C48</f>
        <v>0</v>
      </c>
      <c r="F48" s="36" t="str">
        <f aca="false">IF(ABS(E48)&lt;=0.005,"PASS","FAIL")</f>
        <v>PASS</v>
      </c>
    </row>
    <row r="49" customFormat="false" ht="15" hidden="false" customHeight="false" outlineLevel="0" collapsed="false">
      <c r="A49" s="10" t="s">
        <v>344</v>
      </c>
      <c r="B49" s="10" t="s">
        <v>345</v>
      </c>
      <c r="C49" s="28" t="n">
        <v>86</v>
      </c>
      <c r="D49" s="28" t="n">
        <f aca="false">'The bond'!$B$47</f>
        <v>86</v>
      </c>
      <c r="E49" s="21" t="n">
        <f aca="false">D49-C49</f>
        <v>0</v>
      </c>
      <c r="F49" s="36" t="str">
        <f aca="false">IF(ABS(E49)&lt;=0.005,"PASS","FAIL")</f>
        <v>PASS</v>
      </c>
    </row>
    <row r="50" customFormat="false" ht="15" hidden="false" customHeight="false" outlineLevel="0" collapsed="false">
      <c r="A50" s="10" t="s">
        <v>344</v>
      </c>
      <c r="B50" s="10" t="s">
        <v>133</v>
      </c>
      <c r="C50" s="28" t="n">
        <v>-32</v>
      </c>
      <c r="D50" s="28" t="n">
        <f aca="false">'The bond'!$B$48</f>
        <v>-32</v>
      </c>
      <c r="E50" s="21" t="n">
        <f aca="false">D50-C50</f>
        <v>0</v>
      </c>
      <c r="F50" s="36" t="str">
        <f aca="false">IF(ABS(E50)&lt;=0.005,"PASS","FAIL")</f>
        <v>PASS</v>
      </c>
    </row>
    <row r="51" customFormat="false" ht="15" hidden="false" customHeight="false" outlineLevel="0" collapsed="false">
      <c r="A51" s="10" t="s">
        <v>344</v>
      </c>
      <c r="B51" s="10" t="s">
        <v>134</v>
      </c>
      <c r="C51" s="28" t="n">
        <v>118</v>
      </c>
      <c r="D51" s="28" t="n">
        <f aca="false">'The bond'!$B$49</f>
        <v>118</v>
      </c>
      <c r="E51" s="21" t="n">
        <f aca="false">D51-C51</f>
        <v>0</v>
      </c>
      <c r="F51" s="36" t="str">
        <f aca="false">IF(ABS(E51)&lt;=0.005,"PASS","FAIL")</f>
        <v>PASS</v>
      </c>
    </row>
    <row r="52" customFormat="false" ht="15" hidden="false" customHeight="false" outlineLevel="0" collapsed="false">
      <c r="A52" s="10" t="s">
        <v>344</v>
      </c>
      <c r="B52" s="10" t="s">
        <v>135</v>
      </c>
      <c r="C52" s="28" t="n">
        <v>100</v>
      </c>
      <c r="D52" s="28" t="n">
        <f aca="false">'The bond'!$B$50</f>
        <v>100</v>
      </c>
      <c r="E52" s="21" t="n">
        <f aca="false">D52-C52</f>
        <v>0</v>
      </c>
      <c r="F52" s="36" t="str">
        <f aca="false">IF(ABS(E52)&lt;=0.005,"PASS","FAIL")</f>
        <v>PASS</v>
      </c>
    </row>
    <row r="53" customFormat="false" ht="15" hidden="false" customHeight="false" outlineLevel="0" collapsed="false">
      <c r="A53" s="10" t="s">
        <v>344</v>
      </c>
      <c r="B53" s="10" t="s">
        <v>136</v>
      </c>
      <c r="C53" s="27" t="n">
        <v>0.85</v>
      </c>
      <c r="D53" s="27" t="n">
        <f aca="false">'The bond'!$B$51</f>
        <v>0.847457627118644</v>
      </c>
      <c r="E53" s="21" t="n">
        <f aca="false">D53-C53</f>
        <v>-0.00254237288135584</v>
      </c>
      <c r="F53" s="36" t="str">
        <f aca="false">IF(ABS(E53)&lt;=0.005,"PASS","FAIL")</f>
        <v>PASS</v>
      </c>
    </row>
    <row r="54" customFormat="false" ht="15" hidden="false" customHeight="false" outlineLevel="0" collapsed="false">
      <c r="A54" s="10" t="s">
        <v>344</v>
      </c>
      <c r="B54" s="10" t="s">
        <v>137</v>
      </c>
      <c r="C54" s="27" t="n">
        <v>0.15</v>
      </c>
      <c r="D54" s="27" t="n">
        <f aca="false">'The bond'!$B$52</f>
        <v>0.152542372881356</v>
      </c>
      <c r="E54" s="21" t="n">
        <f aca="false">D54-C54</f>
        <v>0.00254237288135595</v>
      </c>
      <c r="F54" s="36" t="str">
        <f aca="false">IF(ABS(E54)&lt;=0.005,"PASS","FAIL")</f>
        <v>PASS</v>
      </c>
    </row>
    <row r="55" customFormat="false" ht="15" hidden="false" customHeight="false" outlineLevel="0" collapsed="false">
      <c r="A55" s="10" t="s">
        <v>344</v>
      </c>
      <c r="B55" s="10" t="s">
        <v>138</v>
      </c>
      <c r="C55" s="28" t="n">
        <v>14</v>
      </c>
      <c r="D55" s="28" t="n">
        <f aca="false">'The bond'!$B$53</f>
        <v>14</v>
      </c>
      <c r="E55" s="21" t="n">
        <f aca="false">D55-C55</f>
        <v>0</v>
      </c>
      <c r="F55" s="36" t="str">
        <f aca="false">IF(ABS(E55)&lt;=0.005,"PASS","FAIL")</f>
        <v>PASS</v>
      </c>
    </row>
    <row r="56" customFormat="false" ht="15" hidden="false" customHeight="false" outlineLevel="0" collapsed="false">
      <c r="A56" s="10" t="s">
        <v>344</v>
      </c>
      <c r="B56" s="10" t="s">
        <v>346</v>
      </c>
      <c r="C56" s="25" t="n">
        <v>5694445</v>
      </c>
      <c r="D56" s="25" t="n">
        <f aca="false">'The bond'!$B$55</f>
        <v>5694445.48915637</v>
      </c>
      <c r="E56" s="21" t="n">
        <f aca="false">D56-C56</f>
        <v>0.489156370982528</v>
      </c>
      <c r="F56" s="36" t="str">
        <f aca="false">IF(ABS(E56)&lt;=0.5,"PASS","FAIL")</f>
        <v>PASS</v>
      </c>
    </row>
    <row r="57" customFormat="false" ht="15" hidden="false" customHeight="false" outlineLevel="0" collapsed="false">
      <c r="A57" s="10" t="s">
        <v>344</v>
      </c>
      <c r="B57" s="10" t="s">
        <v>141</v>
      </c>
      <c r="C57" s="25" t="n">
        <v>200000000</v>
      </c>
      <c r="D57" s="25" t="n">
        <f aca="false">'The bond'!$B$56</f>
        <v>200000000</v>
      </c>
      <c r="E57" s="21" t="n">
        <f aca="false">D57-C57</f>
        <v>0</v>
      </c>
      <c r="F57" s="36" t="str">
        <f aca="false">IF(ABS(E57)&lt;=0.5,"PASS","FAIL")</f>
        <v>PASS</v>
      </c>
    </row>
    <row r="58" customFormat="false" ht="15" hidden="false" customHeight="false" outlineLevel="0" collapsed="false">
      <c r="A58" s="10" t="s">
        <v>347</v>
      </c>
      <c r="B58" s="10" t="s">
        <v>348</v>
      </c>
      <c r="C58" s="26" t="n">
        <v>3.68</v>
      </c>
      <c r="D58" s="26" t="n">
        <f aca="false">'The placement'!$B$16</f>
        <v>3.68390769789838</v>
      </c>
      <c r="E58" s="21" t="n">
        <f aca="false">D58-C58</f>
        <v>0.00390769789838341</v>
      </c>
      <c r="F58" s="36" t="str">
        <f aca="false">IF(ABS(E58)&lt;=0.005,"PASS","FAIL")</f>
        <v>PASS</v>
      </c>
    </row>
    <row r="59" customFormat="false" ht="15" hidden="false" customHeight="false" outlineLevel="0" collapsed="false">
      <c r="A59" s="10" t="s">
        <v>349</v>
      </c>
      <c r="B59" s="10" t="s">
        <v>350</v>
      </c>
      <c r="C59" s="25" t="n">
        <v>385225000</v>
      </c>
      <c r="D59" s="25" t="n">
        <f aca="false">'The placement'!$B$35</f>
        <v>385225000</v>
      </c>
      <c r="E59" s="21" t="n">
        <f aca="false">D59-C59</f>
        <v>0</v>
      </c>
      <c r="F59" s="36" t="str">
        <f aca="false">IF(ABS(E59)&lt;=0.5,"PASS","FAIL")</f>
        <v>PASS</v>
      </c>
    </row>
    <row r="60" customFormat="false" ht="15" hidden="false" customHeight="false" outlineLevel="0" collapsed="false">
      <c r="A60" s="10" t="s">
        <v>349</v>
      </c>
      <c r="B60" s="10" t="s">
        <v>351</v>
      </c>
      <c r="C60" s="25" t="n">
        <v>31398889</v>
      </c>
      <c r="D60" s="25" t="n">
        <f aca="false">'The placement'!$B$38</f>
        <v>31398889.3192489</v>
      </c>
      <c r="E60" s="21" t="n">
        <f aca="false">D60-C60</f>
        <v>0.319248914718628</v>
      </c>
      <c r="F60" s="36" t="str">
        <f aca="false">IF(ABS(E60)&lt;=0.5,"PASS","FAIL")</f>
        <v>PASS</v>
      </c>
    </row>
    <row r="61" customFormat="false" ht="15" hidden="false" customHeight="false" outlineLevel="0" collapsed="false">
      <c r="A61" s="10" t="s">
        <v>349</v>
      </c>
      <c r="B61" s="10" t="s">
        <v>352</v>
      </c>
      <c r="C61" s="18" t="n">
        <v>0.865</v>
      </c>
      <c r="D61" s="18" t="n">
        <f aca="false">'The placement'!$B$39</f>
        <v>0.865043793208245</v>
      </c>
      <c r="E61" s="21" t="n">
        <f aca="false">D61-C61</f>
        <v>4.37932082445469E-005</v>
      </c>
      <c r="F61" s="36" t="str">
        <f aca="false">IF(ABS(E61)&lt;=0.00005,"PASS","FAIL")</f>
        <v>PASS</v>
      </c>
    </row>
    <row r="62" customFormat="false" ht="15" hidden="false" customHeight="false" outlineLevel="0" collapsed="false">
      <c r="A62" s="10" t="s">
        <v>353</v>
      </c>
      <c r="B62" s="10" t="s">
        <v>354</v>
      </c>
      <c r="C62" s="18" t="n">
        <v>0.0815</v>
      </c>
      <c r="D62" s="18" t="n">
        <f aca="false">'The placement'!$B$40</f>
        <v>0.0815079221734023</v>
      </c>
      <c r="E62" s="21" t="n">
        <f aca="false">D62-C62</f>
        <v>7.9221734023277E-006</v>
      </c>
      <c r="F62" s="36" t="str">
        <f aca="false">IF(ABS(E62)&lt;=0.00005,"PASS","FAIL")</f>
        <v>PASS</v>
      </c>
    </row>
    <row r="63" customFormat="false" ht="15" hidden="false" customHeight="false" outlineLevel="0" collapsed="false">
      <c r="A63" s="10" t="s">
        <v>353</v>
      </c>
      <c r="B63" s="10" t="s">
        <v>169</v>
      </c>
      <c r="C63" s="26" t="n">
        <v>11.28</v>
      </c>
      <c r="D63" s="26" t="n">
        <f aca="false">'The placement'!$B$44</f>
        <v>11.2830829380701</v>
      </c>
      <c r="E63" s="21" t="n">
        <f aca="false">D63-C63</f>
        <v>0.00308293807010962</v>
      </c>
      <c r="F63" s="36" t="str">
        <f aca="false">IF(ABS(E63)&lt;=0.005,"PASS","FAIL")</f>
        <v>PASS</v>
      </c>
    </row>
    <row r="64" customFormat="false" ht="15" hidden="false" customHeight="false" outlineLevel="0" collapsed="false">
      <c r="A64" s="10" t="s">
        <v>305</v>
      </c>
      <c r="B64" s="10" t="s">
        <v>170</v>
      </c>
      <c r="C64" s="26" t="n">
        <v>19.06</v>
      </c>
      <c r="D64" s="26" t="n">
        <f aca="false">'The placement'!$B$45</f>
        <v>19.0610687133674</v>
      </c>
      <c r="E64" s="21" t="n">
        <f aca="false">D64-C64</f>
        <v>0.00106871336741321</v>
      </c>
      <c r="F64" s="36" t="str">
        <f aca="false">IF(ABS(E64)&lt;=0.005,"PASS","FAIL")</f>
        <v>PASS</v>
      </c>
    </row>
    <row r="65" customFormat="false" ht="15" hidden="false" customHeight="false" outlineLevel="0" collapsed="false">
      <c r="A65" s="10" t="s">
        <v>349</v>
      </c>
      <c r="B65" s="10" t="s">
        <v>166</v>
      </c>
      <c r="C65" s="18" t="n">
        <v>0.07451</v>
      </c>
      <c r="D65" s="18" t="n">
        <f aca="false">'The placement'!$B$41</f>
        <v>0.0745098039215686</v>
      </c>
      <c r="E65" s="21" t="n">
        <f aca="false">D65-C65</f>
        <v>-1.96078431380364E-007</v>
      </c>
      <c r="F65" s="36" t="str">
        <f aca="false">IF(ABS(E65)&lt;=0.0000005,"PASS","FAIL")</f>
        <v>PASS</v>
      </c>
    </row>
    <row r="66" customFormat="false" ht="15" hidden="false" customHeight="false" outlineLevel="0" collapsed="false">
      <c r="A66" s="10" t="s">
        <v>349</v>
      </c>
      <c r="B66" s="10" t="s">
        <v>168</v>
      </c>
      <c r="C66" s="25" t="n">
        <v>185846</v>
      </c>
      <c r="D66" s="25" t="n">
        <f aca="false">'The placement'!$B$43</f>
        <v>185845.79976985</v>
      </c>
      <c r="E66" s="21" t="n">
        <f aca="false">D66-C66</f>
        <v>-0.200230149552226</v>
      </c>
      <c r="F66" s="36" t="str">
        <f aca="false">IF(ABS(E66)&lt;=0.5,"PASS","FAIL")</f>
        <v>PASS</v>
      </c>
    </row>
    <row r="67" customFormat="false" ht="15" hidden="false" customHeight="false" outlineLevel="0" collapsed="false">
      <c r="A67" s="10" t="s">
        <v>355</v>
      </c>
      <c r="B67" s="10" t="s">
        <v>356</v>
      </c>
      <c r="C67" s="25" t="n">
        <v>308026030</v>
      </c>
      <c r="D67" s="25" t="n">
        <f aca="false">'The allocation'!$E$8</f>
        <v>308026030.368764</v>
      </c>
      <c r="E67" s="21" t="n">
        <f aca="false">D67-C67</f>
        <v>0.368763566017151</v>
      </c>
      <c r="F67" s="36" t="str">
        <f aca="false">IF(ABS(E67)&lt;=0.5,"PASS","FAIL")</f>
        <v>PASS</v>
      </c>
    </row>
    <row r="68" customFormat="false" ht="15" hidden="false" customHeight="false" outlineLevel="0" collapsed="false">
      <c r="A68" s="10" t="s">
        <v>355</v>
      </c>
      <c r="B68" s="10" t="s">
        <v>357</v>
      </c>
      <c r="C68" s="25" t="n">
        <v>249122807</v>
      </c>
      <c r="D68" s="25" t="n">
        <f aca="false">'The allocation'!$F$8</f>
        <v>249122807.017544</v>
      </c>
      <c r="E68" s="21" t="n">
        <f aca="false">D68-C68</f>
        <v>0.0175438523292542</v>
      </c>
      <c r="F68" s="36" t="str">
        <f aca="false">IF(ABS(E68)&lt;=0.5,"PASS","FAIL")</f>
        <v>PASS</v>
      </c>
    </row>
    <row r="69" customFormat="false" ht="15" hidden="false" customHeight="false" outlineLevel="0" collapsed="false">
      <c r="A69" s="10" t="s">
        <v>355</v>
      </c>
      <c r="B69" s="10" t="s">
        <v>358</v>
      </c>
      <c r="C69" s="25" t="n">
        <v>14316703</v>
      </c>
      <c r="D69" s="25" t="n">
        <f aca="false">'The allocation'!$E$11</f>
        <v>14316702.8199566</v>
      </c>
      <c r="E69" s="21" t="n">
        <f aca="false">D69-C69</f>
        <v>-0.180043384432793</v>
      </c>
      <c r="F69" s="36" t="str">
        <f aca="false">IF(ABS(E69)&lt;=0.5,"PASS","FAIL")</f>
        <v>PASS</v>
      </c>
    </row>
    <row r="70" customFormat="false" ht="15" hidden="false" customHeight="false" outlineLevel="0" collapsed="false">
      <c r="A70" s="10" t="s">
        <v>355</v>
      </c>
      <c r="B70" s="10" t="s">
        <v>359</v>
      </c>
      <c r="C70" s="25" t="n">
        <v>77192982</v>
      </c>
      <c r="D70" s="25" t="n">
        <f aca="false">'The allocation'!$F$11</f>
        <v>77192982.4561404</v>
      </c>
      <c r="E70" s="21" t="n">
        <f aca="false">D70-C70</f>
        <v>0.456140354275703</v>
      </c>
      <c r="F70" s="36" t="str">
        <f aca="false">IF(ABS(E70)&lt;=0.5,"PASS","FAIL")</f>
        <v>PASS</v>
      </c>
    </row>
    <row r="71" customFormat="false" ht="15" hidden="false" customHeight="false" outlineLevel="0" collapsed="false">
      <c r="A71" s="10" t="s">
        <v>355</v>
      </c>
      <c r="B71" s="10" t="s">
        <v>360</v>
      </c>
      <c r="C71" s="18" t="n">
        <v>0.0784</v>
      </c>
      <c r="D71" s="18" t="n">
        <f aca="false">'The allocation'!$B$17</f>
        <v>0.0784034707158352</v>
      </c>
      <c r="E71" s="21" t="n">
        <f aca="false">D71-C71</f>
        <v>3.47071583521597E-006</v>
      </c>
      <c r="F71" s="36" t="str">
        <f aca="false">IF(ABS(E71)&lt;=0.00005,"PASS","FAIL")</f>
        <v>PASS</v>
      </c>
    </row>
    <row r="72" customFormat="false" ht="15" hidden="false" customHeight="false" outlineLevel="0" collapsed="false">
      <c r="A72" s="10" t="s">
        <v>355</v>
      </c>
      <c r="B72" s="10" t="s">
        <v>361</v>
      </c>
      <c r="C72" s="18" t="n">
        <v>0.1743</v>
      </c>
      <c r="D72" s="18" t="n">
        <f aca="false">'The allocation'!$B$18</f>
        <v>0.174280701754386</v>
      </c>
      <c r="E72" s="21" t="n">
        <f aca="false">D72-C72</f>
        <v>-1.92982456140578E-005</v>
      </c>
      <c r="F72" s="36" t="str">
        <f aca="false">IF(ABS(E72)&lt;=0.00005,"PASS","FAIL")</f>
        <v>PASS</v>
      </c>
    </row>
    <row r="73" customFormat="false" ht="15" hidden="false" customHeight="false" outlineLevel="0" collapsed="false">
      <c r="A73" s="10" t="s">
        <v>355</v>
      </c>
      <c r="B73" s="10" t="s">
        <v>362</v>
      </c>
      <c r="C73" s="26" t="n">
        <v>9.6</v>
      </c>
      <c r="D73" s="26" t="n">
        <f aca="false">'The allocation'!$B$19</f>
        <v>9.58772310385507</v>
      </c>
      <c r="E73" s="21" t="n">
        <f aca="false">D73-C73</f>
        <v>-0.0122768961449253</v>
      </c>
      <c r="F73" s="36" t="str">
        <f aca="false">IF(ABS(E73)&lt;=0.05,"PASS","FAIL")</f>
        <v>PASS</v>
      </c>
    </row>
    <row r="74" customFormat="false" ht="15" hidden="false" customHeight="false" outlineLevel="0" collapsed="false">
      <c r="A74" s="10" t="s">
        <v>355</v>
      </c>
      <c r="B74" s="10" t="s">
        <v>185</v>
      </c>
      <c r="C74" s="25" t="n">
        <v>913000</v>
      </c>
      <c r="D74" s="25" t="n">
        <f aca="false">'The allocation'!$B$21</f>
        <v>913028.287456384</v>
      </c>
      <c r="E74" s="21" t="n">
        <f aca="false">D74-C74</f>
        <v>28.287456383463</v>
      </c>
      <c r="F74" s="36" t="str">
        <f aca="false">IF(ABS(E74)&lt;=500,"PASS","FAIL")</f>
        <v>PASS</v>
      </c>
    </row>
    <row r="75" customFormat="false" ht="15" hidden="false" customHeight="false" outlineLevel="0" collapsed="false">
      <c r="A75" s="10" t="s">
        <v>355</v>
      </c>
      <c r="B75" s="10" t="s">
        <v>186</v>
      </c>
      <c r="C75" s="25" t="n">
        <v>738000</v>
      </c>
      <c r="D75" s="25" t="n">
        <f aca="false">'The allocation'!$B$22</f>
        <v>738431.650030514</v>
      </c>
      <c r="E75" s="21" t="n">
        <f aca="false">D75-C75</f>
        <v>431.650030513643</v>
      </c>
      <c r="F75" s="36" t="str">
        <f aca="false">IF(ABS(E75)&lt;=500,"PASS","FAIL")</f>
        <v>PASS</v>
      </c>
    </row>
    <row r="76" customFormat="false" ht="15" hidden="false" customHeight="false" outlineLevel="0" collapsed="false">
      <c r="A76" s="10" t="s">
        <v>355</v>
      </c>
      <c r="B76" s="10" t="s">
        <v>190</v>
      </c>
      <c r="C76" s="25" t="n">
        <v>29700</v>
      </c>
      <c r="D76" s="25" t="n">
        <f aca="false">'The allocation'!$B$26</f>
        <v>29684.6635330647</v>
      </c>
      <c r="E76" s="21" t="n">
        <f aca="false">D76-C76</f>
        <v>-15.3364669353177</v>
      </c>
      <c r="F76" s="36" t="str">
        <f aca="false">IF(ABS(E76)&lt;=50,"PASS","FAIL")</f>
        <v>PASS</v>
      </c>
    </row>
    <row r="77" customFormat="false" ht="15" hidden="false" customHeight="false" outlineLevel="0" collapsed="false">
      <c r="A77" s="10" t="s">
        <v>355</v>
      </c>
      <c r="B77" s="10" t="s">
        <v>186</v>
      </c>
      <c r="C77" s="25" t="n">
        <v>160000</v>
      </c>
      <c r="D77" s="25" t="n">
        <f aca="false">'The allocation'!$B$27</f>
        <v>160054.15074553</v>
      </c>
      <c r="E77" s="21" t="n">
        <f aca="false">D77-C77</f>
        <v>54.1507455300598</v>
      </c>
      <c r="F77" s="36" t="str">
        <f aca="false">IF(ABS(E77)&lt;=500,"PASS","FAIL")</f>
        <v>PASS</v>
      </c>
    </row>
    <row r="78" customFormat="false" ht="15" hidden="false" customHeight="false" outlineLevel="0" collapsed="false">
      <c r="A78" s="10" t="s">
        <v>355</v>
      </c>
      <c r="B78" s="10" t="s">
        <v>188</v>
      </c>
      <c r="C78" s="18" t="n">
        <v>0.8807</v>
      </c>
      <c r="D78" s="18" t="n">
        <f aca="false">'The allocation'!$B$24</f>
        <v>0.880694143167028</v>
      </c>
      <c r="E78" s="21" t="n">
        <f aca="false">D78-C78</f>
        <v>-5.85683297182893E-006</v>
      </c>
      <c r="F78" s="36" t="str">
        <f aca="false">IF(ABS(E78)&lt;=0.00005,"PASS","FAIL")</f>
        <v>PASS</v>
      </c>
    </row>
    <row r="79" customFormat="false" ht="15" hidden="false" customHeight="false" outlineLevel="0" collapsed="false">
      <c r="A79" s="10" t="s">
        <v>355</v>
      </c>
      <c r="B79" s="10" t="s">
        <v>189</v>
      </c>
      <c r="C79" s="18" t="n">
        <v>0.7123</v>
      </c>
      <c r="D79" s="18" t="n">
        <f aca="false">'The allocation'!$B$25</f>
        <v>0.712280701754386</v>
      </c>
      <c r="E79" s="21" t="n">
        <f aca="false">D79-C79</f>
        <v>-1.92982456140856E-005</v>
      </c>
      <c r="F79" s="36" t="str">
        <f aca="false">IF(ABS(E79)&lt;=0.00005,"PASS","FAIL")</f>
        <v>PASS</v>
      </c>
    </row>
    <row r="80" customFormat="false" ht="15" hidden="false" customHeight="false" outlineLevel="0" collapsed="false">
      <c r="A80" s="10" t="s">
        <v>363</v>
      </c>
      <c r="B80" s="10" t="s">
        <v>364</v>
      </c>
      <c r="C80" s="25" t="n">
        <v>108333333</v>
      </c>
      <c r="D80" s="25" t="n">
        <f aca="false">'The two absences'!$B$12</f>
        <v>108333333.333333</v>
      </c>
      <c r="E80" s="21" t="n">
        <f aca="false">D80-C80</f>
        <v>0.33333332836628</v>
      </c>
      <c r="F80" s="36" t="str">
        <f aca="false">IF(ABS(E80)&lt;=0.5,"PASS","FAIL")</f>
        <v>PASS</v>
      </c>
    </row>
    <row r="81" customFormat="false" ht="15" hidden="false" customHeight="false" outlineLevel="0" collapsed="false">
      <c r="A81" s="10" t="s">
        <v>363</v>
      </c>
      <c r="B81" s="10" t="s">
        <v>284</v>
      </c>
      <c r="C81" s="25" t="n">
        <v>91666667</v>
      </c>
      <c r="D81" s="25" t="n">
        <f aca="false">'The two absences'!$B$13</f>
        <v>91666666.6666667</v>
      </c>
      <c r="E81" s="21" t="n">
        <f aca="false">D81-C81</f>
        <v>-0.33333332836628</v>
      </c>
      <c r="F81" s="36" t="str">
        <f aca="false">IF(ABS(E81)&lt;=0.5,"PASS","FAIL")</f>
        <v>PASS</v>
      </c>
    </row>
    <row r="82" customFormat="false" ht="15" hidden="false" customHeight="false" outlineLevel="0" collapsed="false">
      <c r="A82" s="10" t="s">
        <v>305</v>
      </c>
      <c r="B82" s="10" t="s">
        <v>365</v>
      </c>
      <c r="C82" s="25" t="n">
        <v>108823529</v>
      </c>
      <c r="D82" s="25" t="n">
        <f aca="false">'The two absences'!$B$14</f>
        <v>108823529.411765</v>
      </c>
      <c r="E82" s="21" t="n">
        <f aca="false">D82-C82</f>
        <v>0.411764711141586</v>
      </c>
      <c r="F82" s="36" t="str">
        <f aca="false">IF(ABS(E82)&lt;=0.5,"PASS","FAIL")</f>
        <v>PASS</v>
      </c>
    </row>
    <row r="83" customFormat="false" ht="15" hidden="false" customHeight="false" outlineLevel="0" collapsed="false">
      <c r="A83" s="10" t="s">
        <v>363</v>
      </c>
      <c r="B83" s="10" t="s">
        <v>366</v>
      </c>
      <c r="C83" s="28" t="n">
        <v>100.31</v>
      </c>
      <c r="D83" s="28" t="n">
        <f aca="false">'The two absences'!$B$16</f>
        <v>100.307692307692</v>
      </c>
      <c r="E83" s="21" t="n">
        <f aca="false">D83-C83</f>
        <v>-0.00230769230769567</v>
      </c>
      <c r="F83" s="36" t="str">
        <f aca="false">IF(ABS(E83)&lt;=0.005,"PASS","FAIL")</f>
        <v>PASS</v>
      </c>
    </row>
    <row r="84" customFormat="false" ht="15" hidden="false" customHeight="false" outlineLevel="0" collapsed="false">
      <c r="A84" s="10" t="s">
        <v>363</v>
      </c>
      <c r="B84" s="10" t="s">
        <v>288</v>
      </c>
      <c r="C84" s="28" t="n">
        <v>-17.5</v>
      </c>
      <c r="D84" s="28" t="n">
        <f aca="false">'The two absences'!$B$17</f>
        <v>-17.5048076923077</v>
      </c>
      <c r="E84" s="21" t="n">
        <f aca="false">D84-C84</f>
        <v>-0.0048076923076934</v>
      </c>
      <c r="F84" s="36" t="str">
        <f aca="false">IF(ABS(E84)&lt;=0.005,"PASS","FAIL")</f>
        <v>PASS</v>
      </c>
    </row>
    <row r="85" customFormat="false" ht="15" hidden="false" customHeight="false" outlineLevel="0" collapsed="false">
      <c r="A85" s="10" t="s">
        <v>305</v>
      </c>
      <c r="B85" s="10" t="s">
        <v>367</v>
      </c>
      <c r="C85" s="28" t="n">
        <v>21.69</v>
      </c>
      <c r="D85" s="28" t="n">
        <f aca="false">'The two absences'!$B$15</f>
        <v>21.6923076923077</v>
      </c>
      <c r="E85" s="21" t="n">
        <f aca="false">D85-C85</f>
        <v>0.00230769230769212</v>
      </c>
      <c r="F85" s="36" t="str">
        <f aca="false">IF(ABS(E85)&lt;=0.005,"PASS","FAIL")</f>
        <v>PASS</v>
      </c>
    </row>
    <row r="86" customFormat="false" ht="15" hidden="false" customHeight="false" outlineLevel="0" collapsed="false">
      <c r="A86" s="10" t="s">
        <v>315</v>
      </c>
      <c r="B86" s="10" t="s">
        <v>368</v>
      </c>
      <c r="C86" s="37" t="n">
        <v>6433628.32</v>
      </c>
      <c r="D86" s="37" t="n">
        <f aca="false">'The two absences'!$B$18</f>
        <v>6433628.3170757</v>
      </c>
      <c r="E86" s="21" t="n">
        <f aca="false">D86-C86</f>
        <v>-0.00292429886758328</v>
      </c>
      <c r="F86" s="36" t="str">
        <f aca="false">IF(ABS(E86)&lt;=0.005,"PASS","FAIL")</f>
        <v>PASS</v>
      </c>
    </row>
    <row r="87" customFormat="false" ht="15" hidden="false" customHeight="false" outlineLevel="0" collapsed="false">
      <c r="A87" s="10" t="s">
        <v>305</v>
      </c>
      <c r="B87" s="10" t="s">
        <v>369</v>
      </c>
      <c r="C87" s="34" t="n">
        <v>0</v>
      </c>
      <c r="D87" s="34" t="n">
        <f aca="false">'The allocation'!$B$28</f>
        <v>0</v>
      </c>
      <c r="E87" s="21" t="n">
        <f aca="false">D87-C87</f>
        <v>0</v>
      </c>
      <c r="F87" s="36" t="str">
        <f aca="false">IF(ABS(E87)&lt;=0.000001,"PASS","FAIL")</f>
        <v>PASS</v>
      </c>
    </row>
    <row r="88" customFormat="false" ht="15" hidden="false" customHeight="false" outlineLevel="0" collapsed="false">
      <c r="A88" s="10" t="s">
        <v>305</v>
      </c>
      <c r="B88" s="10" t="s">
        <v>370</v>
      </c>
      <c r="C88" s="19" t="n">
        <v>2</v>
      </c>
      <c r="D88" s="19" t="n">
        <f aca="false">'The register'!$B$27</f>
        <v>2</v>
      </c>
      <c r="E88" s="21" t="n">
        <f aca="false">D88-C88</f>
        <v>0</v>
      </c>
      <c r="F88" s="36" t="str">
        <f aca="false">IF(ABS(E88)&lt;=0.000000000001,"PASS","FAIL")</f>
        <v>PASS</v>
      </c>
    </row>
    <row r="89" customFormat="false" ht="15" hidden="false" customHeight="false" outlineLevel="0" collapsed="false">
      <c r="A89" s="10" t="s">
        <v>305</v>
      </c>
      <c r="B89" s="10" t="s">
        <v>371</v>
      </c>
      <c r="C89" s="25" t="n">
        <v>15675000</v>
      </c>
      <c r="D89" s="25" t="n">
        <f aca="false">'The register'!$B$28</f>
        <v>15675000.0000001</v>
      </c>
      <c r="E89" s="21" t="n">
        <f aca="false">D89-C89</f>
        <v>0</v>
      </c>
      <c r="F89" s="36" t="str">
        <f aca="false">IF(ABS(E89)&lt;=0.5,"PASS","FAIL")</f>
        <v>PASS</v>
      </c>
    </row>
    <row r="90" customFormat="false" ht="15" hidden="false" customHeight="false" outlineLevel="0" collapsed="false">
      <c r="A90" s="10" t="s">
        <v>305</v>
      </c>
      <c r="B90" s="10" t="s">
        <v>372</v>
      </c>
      <c r="C90" s="25" t="n">
        <v>1333</v>
      </c>
      <c r="D90" s="25" t="n">
        <f aca="false">'The register'!$B$29</f>
        <v>1332.94332320767</v>
      </c>
      <c r="E90" s="21" t="n">
        <f aca="false">D90-C90</f>
        <v>-0.0566767923301086</v>
      </c>
      <c r="F90" s="36" t="str">
        <f aca="false">IF(ABS(E90)&lt;=0.5,"PASS","FAIL")</f>
        <v>PASS</v>
      </c>
    </row>
    <row r="91" customFormat="false" ht="15" hidden="false" customHeight="false" outlineLevel="0" collapsed="false">
      <c r="A91" s="10" t="s">
        <v>305</v>
      </c>
      <c r="B91" s="10" t="s">
        <v>373</v>
      </c>
      <c r="C91" s="19" t="n">
        <v>9</v>
      </c>
      <c r="D91" s="19" t="n">
        <f aca="false">'The register'!$B$50</f>
        <v>9</v>
      </c>
      <c r="E91" s="21" t="n">
        <f aca="false">D91-C91</f>
        <v>0</v>
      </c>
      <c r="F91" s="36" t="str">
        <f aca="false">IF(ABS(E91)&lt;=0.000000000001,"PASS","FAIL")</f>
        <v>PASS</v>
      </c>
    </row>
    <row r="92" customFormat="false" ht="15" hidden="false" customHeight="false" outlineLevel="0" collapsed="false">
      <c r="A92" s="10" t="s">
        <v>305</v>
      </c>
      <c r="B92" s="10" t="s">
        <v>275</v>
      </c>
      <c r="C92" s="28" t="n">
        <v>0.84</v>
      </c>
      <c r="D92" s="28" t="n">
        <f aca="false">'The register'!$B$51</f>
        <v>0.842216789640995</v>
      </c>
      <c r="E92" s="21" t="n">
        <f aca="false">D92-C92</f>
        <v>0.00221678964099503</v>
      </c>
      <c r="F92" s="36" t="str">
        <f aca="false">IF(ABS(E92)&lt;=0.005,"PASS","FAIL")</f>
        <v>PASS</v>
      </c>
    </row>
    <row r="93" customFormat="false" ht="15" hidden="false" customHeight="false" outlineLevel="0" collapsed="false">
      <c r="B93" s="33"/>
      <c r="D93" s="33"/>
    </row>
    <row r="94" customFormat="false" ht="15" hidden="false" customHeight="false" outlineLevel="0" collapsed="false">
      <c r="B94" s="33" t="s">
        <v>374</v>
      </c>
      <c r="C94" s="33" t="n">
        <v>85</v>
      </c>
      <c r="D94" s="33" t="n">
        <f aca="false">COUNTIF($F$8:$F$92,"PASS")</f>
        <v>85</v>
      </c>
    </row>
    <row r="95" customFormat="false" ht="15" hidden="false" customHeight="false" outlineLevel="0" collapsed="false">
      <c r="B95" s="33" t="s">
        <v>375</v>
      </c>
      <c r="D95" s="33" t="n">
        <f aca="false">COUNTIF($F$8:$F$92,"FAIL")</f>
        <v>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2026-08-30T14:15:55Z</dcterms:created>
  <dc:creator>openpyxl</dc:creator>
  <dc:description/>
  <dc:language>en-US</dc:language>
  <cp:lastModifiedBy/>
  <dcterms:modified xsi:type="dcterms:W3CDTF">2026-09-24T19:41:55Z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