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Screening" sheetId="2" state="visible" r:id="rId4"/>
    <sheet name="Diligence" sheetId="3" state="visible" r:id="rId5"/>
    <sheet name="Structure" sheetId="4" state="visible" r:id="rId6"/>
    <sheet name="Eighteen months" sheetId="5" state="visible" r:id="rId7"/>
    <sheet name="Stressed case" sheetId="6" state="visible" r:id="rId8"/>
    <sheet name="Amortisation sensitivity" sheetId="7" state="visible" r:id="rId9"/>
    <sheet name="The pool's life" sheetId="8" state="visible" r:id="rId10"/>
    <sheet name="What made the difference"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<sst xmlns="http://schemas.openxmlformats.org/spreadsheetml/2006/main" count="477" uniqueCount="404">
  <si>
    <t xml:space="preserve">The Meridian Transaction</t>
  </si>
  <si>
    <t xml:space="preserve">Companion workbook 2 — The Asset-Based Finance Handbook, Julian R. Sterling</t>
  </si>
  <si>
    <t xml:space="preserve">Chapter 22 follows one transaction from first contact to a stressed outcome, and every number in it is stated in prose. This workbook takes them out of the prose and puts them where they can be tested.
Six sheets, in the order the chapter runs.
Screening — the four observations from the two-week screen, with the channel loss decomposition that Stage two confirms. This is where the chapter's central claim lives: that the book's deterioration is almost entirely mix.
Diligence — what nine weeks and EUR 340,000 bought, quantified. File review findings extrapolated to the pool, residual realisation shortfall, servicing capacity.
Structure — the facility as built: size, eligibility, concentration limits, advance rate, triggers, cash control, servicing, covenants, pricing. Each with the headroom it had against Meridian at closing.
Eighteen months — the base path, month by month, to the point where level one fires in month sixteen.
Stressed case — Stage five. The sponsor declines, the structure works, and the fund is repaid in full. The amortisation is modelled rather than asserted, which turns out to be the most interesting thing on the sheet.
Checks — every figure the chapter prints that this workbook recomputes.
Blue cells are inputs taken from the chapter. Black and green cells are formulas. Yellow cells are the assumptions that move the outcome, and they are the ones to play with: the advance rate, the downside multiple, the trigger levels, the pool's amortisation profile.
One warning, and it is the useful kind. The chapter's amortisation figures in Stage five — repaid to roughly 60% of peak within nine months, substantially repaid within twenty — are faster than a 31-month weighted average life produces on any ordinary runoff profile. The Stressed case sheet models it properly, shows the gap, and solves for the weighted average life that would deliver the chapter's numbers. Where a book states an outcome and a mechanism that do not quite meet, the honest thing is to show both and say which one you would use.</t>
  </si>
  <si>
    <t xml:space="preserve">Revised 24 September 2026. Two sheets added. "What made the difference" tests the chapter's closing claims: at 92% the stressed loss of 5.4% is still absorbed, with 2.6 points of enhancement left, so the four points bought the size of the cushion rather than the difference between repayment and a loss; level three shortened the revolving period by two months, not a year, and a single 6.0% cumulative-loss trigger would never have fired; the lost residual alone covers fifteen months of the liquidity headroom, not the six the chapter allows. "The pool's life" solves the contract length Stage one implies (48 months): the 31 months reads as a remaining term, on which the facility is at 67% of peak at month nine and repaid at month 48. Three corrections: the liquidity cover on the Diligence sheet (15 months, not 1.7), the value of the two catering points on the Structure sheet (EUR 3.95m, not 0) and the commingling reserve in months of the facility's own transferred collections (9.0, not 1.3). The run-off now uses the 15.8% pool yield that workbook 3 solves from the chapter's 6.1% excess spread. The Checks sheet ends ALL OK.</t>
  </si>
  <si>
    <t xml:space="preserve">Stage one — screening</t>
  </si>
  <si>
    <t xml:space="preserve">Two weeks. The objective is to decide whether to spend real money on diligence.</t>
  </si>
  <si>
    <t xml:space="preserve">The originator</t>
  </si>
  <si>
    <t xml:space="preserve">What the screen actually found, and one thing it did not</t>
  </si>
  <si>
    <t xml:space="preserve">Cumulative origination since 2016 (EUR m)</t>
  </si>
  <si>
    <t xml:space="preserve">Four observations emerge from six documents in two weeks, and three of them turn into structural terms nine weeks later. That ratio is the argument for taking screening seriously.
The channel decomposition is the important block. Chapter 22 gives three loss rates by channel — vendor 2.2%, direct 2.4%, broker 5.1% — and says the book's deterioration is almost entirely mix: broker share rose, and broker losses are more than double.
It gives the current channel mix (61 / 28 / 11) and one figure for the old one: broker was 19% three years ago. It does not say how the other 81% split. The sheet holds the vendor and direct proportions in their current ratio, which is the neutral assumption, and leaves the broker figure in yellow so you can test others.
On that reading the mix shift moves the blended loss rate by about a quarter of a point, against roughly nine tenths of a point of vintage deterioration. So mix explains part of it, not almost all of it — perhaps a third.
This is worth saying plainly rather than hiding. The chapter's sentence is directionally right and quantitatively generous. The rest of the deterioration has to come from somewhere: catering growing fast at roughly double the book loss rate is the obvious candidate, and the chapter identifies it in the very next observation. A reader who runs the arithmetic ends up with a better description of Meridian than the one the chapter gives — the deterioration is mix, but it is product mix as much as channel mix.
That is the point of a companion workbook. Reproducing a book's numbers is the easy half; the useful half is finding the places where the numbers say slightly more than the sentence does.</t>
  </si>
  <si>
    <t xml:space="preserve">Current book (EUR m)</t>
  </si>
  <si>
    <t xml:space="preserve">Equity (EUR m)</t>
  </si>
  <si>
    <t xml:space="preserve">Existing bank warehouses (EUR m)</t>
  </si>
  <si>
    <t xml:space="preserve">Facility sought (EUR m)</t>
  </si>
  <si>
    <t xml:space="preserve">Monthly origination (EUR m)</t>
  </si>
  <si>
    <t xml:space="preserve">Origination growth rate</t>
  </si>
  <si>
    <t xml:space="preserve">Annualised origination (EUR m)</t>
  </si>
  <si>
    <t xml:space="preserve">Origination as a proportion of the book</t>
  </si>
  <si>
    <t xml:space="preserve">Implied average book life (years)</t>
  </si>
  <si>
    <t xml:space="preserve">Equity as a proportion of the book</t>
  </si>
  <si>
    <t xml:space="preserve">Facility sought as a proportion of existing warehouses</t>
  </si>
  <si>
    <t xml:space="preserve">Observation one — the book by product</t>
  </si>
  <si>
    <t xml:space="preserve">Product</t>
  </si>
  <si>
    <t xml:space="preserve">Share</t>
  </si>
  <si>
    <t xml:space="preserve">EUR m</t>
  </si>
  <si>
    <t xml:space="preserve">Loss rate</t>
  </si>
  <si>
    <t xml:space="preserve">Relative to book</t>
  </si>
  <si>
    <t xml:space="preserve">Vehicles</t>
  </si>
  <si>
    <t xml:space="preserve">Plant</t>
  </si>
  <si>
    <t xml:space="preserve">Catering</t>
  </si>
  <si>
    <t xml:space="preserve">Total</t>
  </si>
  <si>
    <t xml:space="preserve">Observation two — the vintage curves</t>
  </si>
  <si>
    <t xml:space="preserve">Cumulative net loss, vintages 2017 to 2021: low end</t>
  </si>
  <si>
    <t xml:space="preserve">Cumulative net loss, vintages 2017 to 2021: high end</t>
  </si>
  <si>
    <t xml:space="preserve">Cumulative net loss projected, vintages 2022 and 2023</t>
  </si>
  <si>
    <t xml:space="preserve">Midpoint of the stable vintages</t>
  </si>
  <si>
    <t xml:space="preserve">Deterioration of the 2022 and 2023 vintages</t>
  </si>
  <si>
    <t xml:space="preserve">Deterioration against the worst stable vintage</t>
  </si>
  <si>
    <t xml:space="preserve">Observations three and four — channel, and where the deterioration comes from</t>
  </si>
  <si>
    <t xml:space="preserve">Channel</t>
  </si>
  <si>
    <t xml:space="preserve">Share now</t>
  </si>
  <si>
    <t xml:space="preserve">Share three years ago</t>
  </si>
  <si>
    <t xml:space="preserve">Cumulative net loss</t>
  </si>
  <si>
    <t xml:space="preserve">Contribution now</t>
  </si>
  <si>
    <t xml:space="preserve">Vendor</t>
  </si>
  <si>
    <t xml:space="preserve">Broker</t>
  </si>
  <si>
    <t xml:space="preserve">Direct</t>
  </si>
  <si>
    <t xml:space="preserve">Blended loss rate on the current channel mix</t>
  </si>
  <si>
    <t xml:space="preserve">Blended loss rate on the mix of three years ago</t>
  </si>
  <si>
    <t xml:space="preserve">Deterioration explained by the change in channel mix</t>
  </si>
  <si>
    <t xml:space="preserve">Deterioration observed in the vintage curves</t>
  </si>
  <si>
    <t xml:space="preserve">Proportion of the observed deterioration explained by mix</t>
  </si>
  <si>
    <t xml:space="preserve">Broker losses as a multiple of vendor losses</t>
  </si>
  <si>
    <t xml:space="preserve">The worst introducer inside the broker channel</t>
  </si>
  <si>
    <t xml:space="preserve">That introducer as a multiple of vendor losses</t>
  </si>
  <si>
    <t xml:space="preserve">Catering loss rate implied by 'roughly double the book average'</t>
  </si>
  <si>
    <t xml:space="preserve">Stage two — diligence</t>
  </si>
  <si>
    <t xml:space="preserve">Nine weeks, and about EUR 340,000 of external cost.</t>
  </si>
  <si>
    <t xml:space="preserve">What it cost</t>
  </si>
  <si>
    <t xml:space="preserve">What nine weeks bought</t>
  </si>
  <si>
    <t xml:space="preserve">External diligence cost (EUR)</t>
  </si>
  <si>
    <t xml:space="preserve">Every line on this sheet became a term in the facility. That is the test of whether diligence was worth its cost, and here it was: EUR 340,000 on a EUR 200 million facility is seventeen basis points, spent once.
The channel answer came first and was decisive: vendor 2.2%, direct 2.4%, broker 5.1%, and one broker above 8%. That single cut of the data produced the broker concentration limit, the single-broker limit, and the exclusion by name.
The residual test is the one people skip. Comparing residuals booked at inception to actual realisations over four years showed realisations averaging 91% of booked residual, with the shortfall widening. Chapter 22 does not put a money figure on it, so this sheet does — with the residual proportion of an operating lease left in yellow, because the chapter does not state it. At any plausible setting the answer is small in money and large in what it says: the residuals were systematically optimistic, and the response was not to haircut them but to exclude operating leases from the eligible pool entirely. Structuring around a finding beats pricing it.
The servicing finding is the one that pays off in Stage five. Collections were competent — contact on day four, fourteen accounts per collector, cure rates consistent with market — with two weaknesses: no surge plan, and 8% of accounts on spreadsheets outside the core system after a 2022 migration. Neither is a reason to decline. Both are a reason to fund a servicing transition reserve and to require the backup servicer to load and validate the tape annually, which is exactly what turned a four-month collections collapse into a five-week handover.
The file review numbers look mild — eighteen findings in 220 contracts — until you extrapolate. Eleven defective registrations in a sample of 220 is 5% of the pool, and 5% of a EUR 640 million book is EUR 32 million of contracts whose security may not be enforceable. Meridian repurchased the eleven; the extrapolation is what tells you whether eleven was the whole problem or the visible part of it.</t>
  </si>
  <si>
    <t xml:space="preserve">Facility size (EUR m)</t>
  </si>
  <si>
    <t xml:space="preserve">Cost as a proportion of the facility</t>
  </si>
  <si>
    <t xml:space="preserve">Cost in basis points of the facility</t>
  </si>
  <si>
    <t xml:space="preserve">Elapsed weeks, screening plus diligence</t>
  </si>
  <si>
    <t xml:space="preserve">File review — 220 contracts sampled</t>
  </si>
  <si>
    <t xml:space="preserve">Finding</t>
  </si>
  <si>
    <t xml:space="preserve">Contracts</t>
  </si>
  <si>
    <t xml:space="preserve">Share of sample</t>
  </si>
  <si>
    <t xml:space="preserve">Extrapolated to the book (EUR m)</t>
  </si>
  <si>
    <t xml:space="preserve">Contracts sampled</t>
  </si>
  <si>
    <t xml:space="preserve">Documentation incomplete</t>
  </si>
  <si>
    <t xml:space="preserve">Security registration missing or defective</t>
  </si>
  <si>
    <t xml:space="preserve">Contract value not matching the executed document</t>
  </si>
  <si>
    <t xml:space="preserve">Contracts with a finding of any kind</t>
  </si>
  <si>
    <t xml:space="preserve">Defective registrations repurchased by Meridian at closing</t>
  </si>
  <si>
    <t xml:space="preserve">Sample as a proportion of the book by contract count, at a EUR 100k average</t>
  </si>
  <si>
    <t xml:space="preserve">Residual value testing</t>
  </si>
  <si>
    <t xml:space="preserve">Operating leases as a share of the book</t>
  </si>
  <si>
    <t xml:space="preserve">Operating leases (EUR m)</t>
  </si>
  <si>
    <t xml:space="preserve">Realisations as a proportion of booked residual</t>
  </si>
  <si>
    <t xml:space="preserve">Shortfall against booked residual</t>
  </si>
  <si>
    <t xml:space="preserve">Years of realisation history compared</t>
  </si>
  <si>
    <t xml:space="preserve">Residual as a share of an operating lease, assumed</t>
  </si>
  <si>
    <t xml:space="preserve">Loss on the operating lease book at the observed shortfall (EUR m)</t>
  </si>
  <si>
    <t xml:space="preserve">That loss as a proportion of the whole book</t>
  </si>
  <si>
    <t xml:space="preserve">Servicing review</t>
  </si>
  <si>
    <t xml:space="preserve">Days to first contact</t>
  </si>
  <si>
    <t xml:space="preserve">Accounts per collector</t>
  </si>
  <si>
    <t xml:space="preserve">Accounts managed outside the core system</t>
  </si>
  <si>
    <t xml:space="preserve">Platform migration year</t>
  </si>
  <si>
    <t xml:space="preserve">Accounts outside the system, on a EUR 100k average contract (EUR m)</t>
  </si>
  <si>
    <t xml:space="preserve">Collectors implied by the book at 14 accounts each</t>
  </si>
  <si>
    <t xml:space="preserve">Collectors needed if arrears double, with no surge plan</t>
  </si>
  <si>
    <t xml:space="preserve">Corporate diligence</t>
  </si>
  <si>
    <t xml:space="preserve">Unrestricted cash (EUR m)</t>
  </si>
  <si>
    <t xml:space="preserve">Minimum liquidity covenant to be set (EUR m)</t>
  </si>
  <si>
    <t xml:space="preserve">Minimum tangible net worth covenant to be set (EUR m)</t>
  </si>
  <si>
    <t xml:space="preserve">Liquidity headroom at closing (EUR m)</t>
  </si>
  <si>
    <t xml:space="preserve">Tangible net worth headroom at closing (EUR m)</t>
  </si>
  <si>
    <t xml:space="preserve">Liquidity headroom as a proportion of the covenant</t>
  </si>
  <si>
    <t xml:space="preserve">Months the liquidity headroom covers the lost residual (EUR 800,000 a quarter)</t>
  </si>
  <si>
    <t xml:space="preserve">Stage three — structuring</t>
  </si>
  <si>
    <t xml:space="preserve">Terms shaped directly by the diligence. Each with the headroom it had at closing.</t>
  </si>
  <si>
    <t xml:space="preserve">Size and tenor</t>
  </si>
  <si>
    <t xml:space="preserve">Reading the structure the way Chapter 5 says to</t>
  </si>
  <si>
    <t xml:space="preserve">Committed (EUR m)</t>
  </si>
  <si>
    <t xml:space="preserve">Chapter 5 ends with five questions that extract most of what matters from an unfamiliar transaction. This sheet holds the answers for Meridian.
What is the advance rate, and what loss does the enhancement absorb? 88%, twelve points, five times base case.
What proportion of the pool would be ineligible on a strict reading? 17% — and note that this was actually run, against the actual tape, before closing. Appendix A: if nobody has ever run the test, that is the finding.
What triggers exist and do they lead or lag? Three levels, all with a leading measure. Level one runs off delinquency and excess spread, both of which move before losses do.
How fast does it repay? That is the Stressed case sheet, and it is the question with the least satisfying answer.
Who services it if the originator disappears? A named warm backup, receiving the full tape monthly, confirming annually in writing that it has loaded and validated it, with a EUR 3.5 million transition reserve funded at closing. That is a complete answer to Appendix A question five, which most facilities cannot give.
Two things on this sheet repay a second look.
The level three cumulative loss trigger is set at exactly the downside case. That is not a coincidence and it is good design: the structure stops buying assets at precisely the loss level the underwriting called its downside. Above that point the fund is no longer in the deal it underwrote.
The catering negotiation is the only term Meridian moved, from 8% to 10%, and the sheet prices it. Two points of a roughly EUR 200 million eligible pool is about EUR 4 million of extra eligible balance, on the product with the worst losses in the book. Meridian won the negotiation and it cost the fund almost nothing, because the limit still capped the exposure that actually deteriorated. Losing the small negotiation to hold the large ones is a technique.</t>
  </si>
  <si>
    <t xml:space="preserve">Revolving period (years)</t>
  </si>
  <si>
    <t xml:space="preserve">Final maturity (years)</t>
  </si>
  <si>
    <t xml:space="preserve">Amortisation window after the revolving period (years)</t>
  </si>
  <si>
    <t xml:space="preserve">Advance rate and enhancement</t>
  </si>
  <si>
    <t xml:space="preserve">Base case cumulative net loss on the eligible pool</t>
  </si>
  <si>
    <t xml:space="preserve">Downside multiple</t>
  </si>
  <si>
    <t xml:space="preserve">Downside cumulative net loss</t>
  </si>
  <si>
    <t xml:space="preserve">Margin for servicing transition and data risk</t>
  </si>
  <si>
    <t xml:space="preserve">Analysis floor for the enhancement</t>
  </si>
  <si>
    <t xml:space="preserve">Advance rate set</t>
  </si>
  <si>
    <t xml:space="preserve">Advance rate Meridian asked for</t>
  </si>
  <si>
    <t xml:space="preserve">Credit enhancement</t>
  </si>
  <si>
    <t xml:space="preserve">Break-even loss multiple</t>
  </si>
  <si>
    <t xml:space="preserve">Cushion above the analysis floor</t>
  </si>
  <si>
    <t xml:space="preserve">Concentration limits and what they bind</t>
  </si>
  <si>
    <t xml:space="preserve">Limit</t>
  </si>
  <si>
    <t xml:space="preserve">Level</t>
  </si>
  <si>
    <t xml:space="preserve">Meridian's book</t>
  </si>
  <si>
    <t xml:space="preserve">Binding?</t>
  </si>
  <si>
    <t xml:space="preserve">Any single obligor</t>
  </si>
  <si>
    <t xml:space="preserve">not stated</t>
  </si>
  <si>
    <t xml:space="preserve">Catering equipment</t>
  </si>
  <si>
    <t xml:space="preserve">Broker-originated business</t>
  </si>
  <si>
    <t xml:space="preserve">Any single broker</t>
  </si>
  <si>
    <t xml:space="preserve">Any single jurisdiction</t>
  </si>
  <si>
    <t xml:space="preserve">Contracts over 60 months</t>
  </si>
  <si>
    <t xml:space="preserve">Catering limit first offered</t>
  </si>
  <si>
    <t xml:space="preserve">Catering limit agreed</t>
  </si>
  <si>
    <t xml:space="preserve">What the two points were worth on the eligible pool (EUR m)</t>
  </si>
  <si>
    <t xml:space="preserve">Proportion of the current book ineligible on the criteria</t>
  </si>
  <si>
    <t xml:space="preserve">Ineligible amount on a EUR 640m book (EUR m)</t>
  </si>
  <si>
    <t xml:space="preserve">Trigger ladder</t>
  </si>
  <si>
    <t xml:space="preserve">60+ delinquency</t>
  </si>
  <si>
    <t xml:space="preserve">Other measure</t>
  </si>
  <si>
    <t xml:space="preserve">Consequence</t>
  </si>
  <si>
    <t xml:space="preserve">Level one</t>
  </si>
  <si>
    <t xml:space="preserve">Three-month average excess spread below 4.5%</t>
  </si>
  <si>
    <t xml:space="preserve">Weekly reporting; distributions to Meridian suspended</t>
  </si>
  <si>
    <t xml:space="preserve">Level two</t>
  </si>
  <si>
    <t xml:space="preserve">Cumulative net loss on any vintage above 4.5% at month 18</t>
  </si>
  <si>
    <t xml:space="preserve">Advance rate steps down by 3%</t>
  </si>
  <si>
    <t xml:space="preserve">Level three</t>
  </si>
  <si>
    <t xml:space="preserve">Cumulative loss above 6.0%, covenant breach, or servicer default</t>
  </si>
  <si>
    <t xml:space="preserve">Revolving period ends; sequential amortisation</t>
  </si>
  <si>
    <t xml:space="preserve">Level three cumulative loss trigger</t>
  </si>
  <si>
    <t xml:space="preserve">The downside case computed above</t>
  </si>
  <si>
    <t xml:space="preserve">Level three is set at the downside case</t>
  </si>
  <si>
    <t xml:space="preserve">Cash, servicing, covenants and price</t>
  </si>
  <si>
    <t xml:space="preserve">Collections received by transfer into Meridian's own account</t>
  </si>
  <si>
    <t xml:space="preserve">Commingling reserve (EUR m)</t>
  </si>
  <si>
    <t xml:space="preserve">Servicing transition reserve (EUR m)</t>
  </si>
  <si>
    <t xml:space="preserve">Servicing fee, per annum, senior in the waterfall</t>
  </si>
  <si>
    <t xml:space="preserve">Minimum tangible net worth (EUR m)</t>
  </si>
  <si>
    <t xml:space="preserve">Minimum unrestricted liquidity (EUR m)</t>
  </si>
  <si>
    <t xml:space="preserve">Monthly reporting deadline (business days)</t>
  </si>
  <si>
    <t xml:space="preserve">Margin over base rate</t>
  </si>
  <si>
    <t xml:space="preserve">Commitment fee on undrawn amounts</t>
  </si>
  <si>
    <t xml:space="preserve">Arrangement fee</t>
  </si>
  <si>
    <t xml:space="preserve">Reserves funded at closing (EUR m)</t>
  </si>
  <si>
    <t xml:space="preserve">Reserves as a proportion of the commitment</t>
  </si>
  <si>
    <t xml:space="preserve">Commingling reserve in months of the facility's transferred collections</t>
  </si>
  <si>
    <t xml:space="preserve">Arrangement fee (EUR m)</t>
  </si>
  <si>
    <t xml:space="preserve">Commitment fee at 84% drawn, per annum (EUR m)</t>
  </si>
  <si>
    <t xml:space="preserve">Servicing fee on a EUR 176m pool, per annum (EUR m)</t>
  </si>
  <si>
    <t xml:space="preserve">Stage four — the first eighteen months</t>
  </si>
  <si>
    <t xml:space="preserve">The base path, month by month, to the point where level one fires.</t>
  </si>
  <si>
    <t xml:space="preserve">Assumptions</t>
  </si>
  <si>
    <t xml:space="preserve">Why the residual mattered more than it looked</t>
  </si>
  <si>
    <t xml:space="preserve">Commitment (EUR m)</t>
  </si>
  <si>
    <t xml:space="preserve">Deployment ran ahead of plan and the facility was 84% drawn by month nine, because Meridian shifted its marketing toward vendor channels. That was a direct consequence of the broker concentration limit, and a good outcome for both parties: the limit did not just cap an exposure, it changed the originator's behaviour.
Delinquency ran at 2.6% to 2.9% against a level one at 3.2%. Three tenths of a point of headroom at the high point, which is not much, and Chapter 22 lets it run for fifteen months before catering pushes it through.
Excess spread at 6.1% against a 4.5% floor is a wider margin — 36% headroom. Appendix A asks for exactly this: each trigger, its level, current performance, and the percentage headroom. The table at the top produces it.
In month sixteen the ratio reaches 3.3% and level one fires. Reporting goes weekly and Meridian's residual distributions stop, and Chapter 22 makes the point that this consequence matters more than it looks.
The sheet quantifies why. The residual was EUR 800,000 a quarter — EUR 3.2 million a year, against unrestricted cash of EUR 14 million and a liquidity covenant at EUR 10 million. Stopping it removes most of the headroom over the covenant within a year. The sponsor's EUR 8 million is two and a half years of lost residual and about a sixth of Meridian's equity, and it comes with the condition that Meridian exits catering entirely.
That is the dynamic Chapter 5 warns about: the abrupt removal of the residual distribution is what gives the originator its incentive to keep performance inside the triggers, and it is also what can push a marginal originator into distress. Here it did both — it forced a good decision out of the sponsor, and in the stressed case on the next sheet, where the sponsor declines, it is the beginning of the end.</t>
  </si>
  <si>
    <t xml:space="preserve">Drawn at month nine</t>
  </si>
  <si>
    <t xml:space="preserve">Drawn at month nine (EUR m)</t>
  </si>
  <si>
    <t xml:space="preserve">Reported delinquency, low</t>
  </si>
  <si>
    <t xml:space="preserve">Reported delinquency, high</t>
  </si>
  <si>
    <t xml:space="preserve">Excess spread reported</t>
  </si>
  <si>
    <t xml:space="preserve">Delinquency at month sixteen</t>
  </si>
  <si>
    <t xml:space="preserve">Catering loss rate at month fourteen, moving toward</t>
  </si>
  <si>
    <t xml:space="preserve">Catering concentration limit</t>
  </si>
  <si>
    <t xml:space="preserve">Headroom against the triggers before month sixteen</t>
  </si>
  <si>
    <t xml:space="preserve">Measure</t>
  </si>
  <si>
    <t xml:space="preserve">Reported</t>
  </si>
  <si>
    <t xml:space="preserve">Headroom</t>
  </si>
  <si>
    <t xml:space="preserve">Headroom %</t>
  </si>
  <si>
    <t xml:space="preserve">Fires?</t>
  </si>
  <si>
    <t xml:space="preserve">60+ delinquency, high point</t>
  </si>
  <si>
    <t xml:space="preserve">Three-month average excess spread</t>
  </si>
  <si>
    <t xml:space="preserve">60+ delinquency at month sixteen</t>
  </si>
  <si>
    <t xml:space="preserve">What the level one consequence costs Meridian</t>
  </si>
  <si>
    <t xml:space="preserve">Residual distribution per quarter (EUR)</t>
  </si>
  <si>
    <t xml:space="preserve">Residual distribution per year (EUR)</t>
  </si>
  <si>
    <t xml:space="preserve">Sponsor equity injected in response (EUR m)</t>
  </si>
  <si>
    <t xml:space="preserve">Sponsor injection as a multiple of one year of lost residual</t>
  </si>
  <si>
    <t xml:space="preserve">Sponsor injection as a proportion of Meridian's equity</t>
  </si>
  <si>
    <t xml:space="preserve">Condition attached</t>
  </si>
  <si>
    <t xml:space="preserve">exit catering entirely</t>
  </si>
  <si>
    <t xml:space="preserve">Deployment</t>
  </si>
  <si>
    <t xml:space="preserve">Month</t>
  </si>
  <si>
    <t xml:space="preserve">Drawn (EUR m)</t>
  </si>
  <si>
    <t xml:space="preserve">Utilisation</t>
  </si>
  <si>
    <t xml:space="preserve">Status</t>
  </si>
  <si>
    <t xml:space="preserve">Month at which level one first fires</t>
  </si>
  <si>
    <t xml:space="preserve">Stage five — the stressed case</t>
  </si>
  <si>
    <t xml:space="preserve">The sponsor declines. The structure works. The amortisation is modelled rather than asserted.</t>
  </si>
  <si>
    <t xml:space="preserve">The position when the revolving period ends</t>
  </si>
  <si>
    <t xml:space="preserve">The one place the chapter's numbers do not meet</t>
  </si>
  <si>
    <t xml:space="preserve">Senior debt outstanding at month 22 (EUR m)</t>
  </si>
  <si>
    <t xml:space="preserve">Stage five is the best passage in the book and the only one where the arithmetic has to be argued with.
What the chapter says. The eligible pool has a weighted average remaining life of 31 months and amortises steadily. Within nine months the facility is repaid to roughly 60% of peak; within twenty months it is substantially repaid.
What the model says. Run a pool with a 31-month weighted average life through sequential amortisation (B10 = 57), with every collection after servicing fees and senior interest going to senior principal, and at month nine the facility is still at 82% of peak, not 60%; at month twenty it is at 57%.
What is consistent. The two outcomes agree with each other. A pool amortising over 24 months, a weighted average life of about 13 months, produces 58% at month nine and almost nothing left at month twenty.
Which to believe. The sheet 'The pool's life' asks what Stage one implies: a book of EUR 640 million on EUR 31 million a month, growing 22% a year, is made of 48-month contracts, with a remaining term of about 34 months and a remaining life of about 19. The 31 months reads as a remaining term. On that reading (B10 = 31) the facility is at 67% of peak at month nine, 90% repaid at month 24 and fully repaid 26 months after the trigger: month 48 of the facility, its four-year final maturity. The model is left at 24 months so that it reproduces what the chapter prints.
Why it matters. Appendix A question four asks for the months to 50% and to 90% repayment. The difference between the readings is a year of exposure to a servicer in distress, and on the longest one the facility is not repaid by its final maturity.
Revised 24 September 2026: the contract rate (B11) is now the 15.8% that workbook 3 solves from the 6.1% excess spread the chapter reports; the first version used 9.5%, which left 1.0% of excess spread in the run-off (row 29 now shows 7.3%).</t>
  </si>
  <si>
    <t xml:space="preserve">Eligible pool at that point (EUR m)</t>
  </si>
  <si>
    <t xml:space="preserve">Advance rate in force after the level two step-down</t>
  </si>
  <si>
    <t xml:space="preserve">Enhancement in the pool</t>
  </si>
  <si>
    <t xml:space="preserve">Weighted average remaining life stated in the chapter (months)</t>
  </si>
  <si>
    <t xml:space="preserve">Amortisation term driving the model (months)</t>
  </si>
  <si>
    <t xml:space="preserve">Contract rate on the pool, per annum</t>
  </si>
  <si>
    <t xml:space="preserve">revised: the yield workbook 3 solves from the 6.1% excess spread (9.5% left 1.0% of excess spread)</t>
  </si>
  <si>
    <t xml:space="preserve">Servicing fee, per annum</t>
  </si>
  <si>
    <t xml:space="preserve">All-in senior cost, per annum</t>
  </si>
  <si>
    <t xml:space="preserve">Cumulative net loss realised on the pool</t>
  </si>
  <si>
    <t xml:space="preserve">Collections shortfall during the servicer handover</t>
  </si>
  <si>
    <t xml:space="preserve">Handover months affected</t>
  </si>
  <si>
    <t xml:space="preserve">First handover month</t>
  </si>
  <si>
    <t xml:space="preserve">Monthly rate on the pool</t>
  </si>
  <si>
    <t xml:space="preserve">The outcome</t>
  </si>
  <si>
    <t xml:space="preserve">Weighted average life produced by the model (months)</t>
  </si>
  <si>
    <t xml:space="preserve">Senior debt at month nine, as a proportion of peak</t>
  </si>
  <si>
    <t xml:space="preserve">Senior debt at month twenty, as a proportion of peak</t>
  </si>
  <si>
    <t xml:space="preserve">Months to 50% repaid</t>
  </si>
  <si>
    <t xml:space="preserve">Months to 90% repaid</t>
  </si>
  <si>
    <t xml:space="preserve">Month of full repayment</t>
  </si>
  <si>
    <t xml:space="preserve">Cumulative net loss against the enhancement</t>
  </si>
  <si>
    <t xml:space="preserve">Enhancement remaining after the realised loss</t>
  </si>
  <si>
    <t xml:space="preserve">Excess spread on the pool at the start of the run-off, a year</t>
  </si>
  <si>
    <t xml:space="preserve">Balance factor</t>
  </si>
  <si>
    <t xml:space="preserve">Pool (EUR m)</t>
  </si>
  <si>
    <t xml:space="preserve">Scheduled principal</t>
  </si>
  <si>
    <t xml:space="preserve">Loss</t>
  </si>
  <si>
    <t xml:space="preserve">Net principal</t>
  </si>
  <si>
    <t xml:space="preserve">Excess spread to principal</t>
  </si>
  <si>
    <t xml:space="preserve">Senior debt (EUR m)</t>
  </si>
  <si>
    <t xml:space="preserve">Debt / peak</t>
  </si>
  <si>
    <t xml:space="preserve">See the Amortisation sensitivity sheet for the same path run at five different terms.</t>
  </si>
  <si>
    <t xml:space="preserve">Amortisation sensitivity</t>
  </si>
  <si>
    <t xml:space="preserve">The same sequential amortisation, run at five amortisation terms. Everything else comes from the Stressed case sheet.</t>
  </si>
  <si>
    <t xml:space="preserve">Amortisation term (months)</t>
  </si>
  <si>
    <t xml:space="preserve">How to read the table</t>
  </si>
  <si>
    <t xml:space="preserve">Implied weighted average life (months)</t>
  </si>
  <si>
    <t xml:space="preserve">Five amortisation terms, everything else held at the Stressed case sheet's assumptions.
The row that matters is the last one in the summary block: does this term reproduce what Chapter 22 says happened, roughly 60% of peak at month nine and substantially repaid by month twenty.
Only the short terms do. At 24 months the facility lands on both figures (58% and 1%). At 31 months, the term Stage one points to, it is at 67% and 23%. At 57 months, the term whose weighted average life is the 31 months the chapter states, it is still at 82% of peak at month nine.
The senior lender is repaid in full on every one of these paths. What changes across the columns is how long the fund sits with a distressed servicer and a book it can no longer add to.</t>
  </si>
  <si>
    <t xml:space="preserve">Senior debt at month 9, share of peak</t>
  </si>
  <si>
    <t xml:space="preserve">Senior debt at month 20, share of peak</t>
  </si>
  <si>
    <t xml:space="preserve">Reproduces the chapter's Stage five outcome?</t>
  </si>
  <si>
    <t xml:space="preserve">Balance factor by month</t>
  </si>
  <si>
    <t xml:space="preserve">term 18</t>
  </si>
  <si>
    <t xml:space="preserve">term 24</t>
  </si>
  <si>
    <t xml:space="preserve">term 31</t>
  </si>
  <si>
    <t xml:space="preserve">term 40</t>
  </si>
  <si>
    <t xml:space="preserve">term 57</t>
  </si>
  <si>
    <t xml:space="preserve">Senior debt as a share of peak, by month</t>
  </si>
  <si>
    <t xml:space="preserve">The pool's life: what Stage one says about the 31 months</t>
  </si>
  <si>
    <t xml:space="preserve">A book of EUR 640 million growing 22% a year on EUR 31 million a month of origination can only be made of contracts of one length. That length says how to read the 31 months.</t>
  </si>
  <si>
    <t xml:space="preserve">Stage one</t>
  </si>
  <si>
    <t xml:space="preserve">Book (EUR m)</t>
  </si>
  <si>
    <t xml:space="preserve">Stage one gives a book, an origination rate and a growth rate. A book that grows steadily is a sum of past vintages, each amortising; the ratio of the book to one month of origination depends only on how long the contracts run. At 22% growth and a 15.8% rate, only 48-month contracts give EUR 640 million on EUR 31 million a month.
Such a book has a remaining term of about 34 months and a remaining life of about 19. The 31 months Chapter 22 prints sits close to the first and far from the second: it reads as a remaining term. On that reading the facility is at 67% of peak at month nine and fully repaid 26 months after the trigger, at month 48 of a 48-month facility, its final maturity. The chapter's 60% and twenty months need a pool of 24-month contracts, which the book described in Stage one cannot contain.</t>
  </si>
  <si>
    <t xml:space="preserve">Origination growth, a year</t>
  </si>
  <si>
    <t xml:space="preserve">Contract rate on the pool</t>
  </si>
  <si>
    <t xml:space="preserve">Original term of the contracts (months): solved, the check below confirms it</t>
  </si>
  <si>
    <t xml:space="preserve">Monthly rate</t>
  </si>
  <si>
    <t xml:space="preserve">Monthly growth</t>
  </si>
  <si>
    <t xml:space="preserve">What the book implies</t>
  </si>
  <si>
    <t xml:space="preserve">Book over monthly origination: the target (months)</t>
  </si>
  <si>
    <t xml:space="preserve">The same ratio produced by contracts of that term</t>
  </si>
  <si>
    <t xml:space="preserve">The same with contracts one month shorter</t>
  </si>
  <si>
    <t xml:space="preserve">Is the term the one the book implies?</t>
  </si>
  <si>
    <t xml:space="preserve">Weighted average life of a new contract (months)</t>
  </si>
  <si>
    <t xml:space="preserve">Weighted average remaining life of the book (months)</t>
  </si>
  <si>
    <t xml:space="preserve">Weighted average remaining term of the book (months)</t>
  </si>
  <si>
    <t xml:space="preserve">The figure Chapter 22 prints (months)</t>
  </si>
  <si>
    <t xml:space="preserve">Which reading it is closer to</t>
  </si>
  <si>
    <t xml:space="preserve">The run-off on each reading (sequential amortisation, from the Amortisation sensitivity sheet)</t>
  </si>
  <si>
    <t xml:space="preserve">Reading</t>
  </si>
  <si>
    <t xml:space="preserve">Term</t>
  </si>
  <si>
    <t xml:space="preserve">Weighted average life</t>
  </si>
  <si>
    <t xml:space="preserve">Debt at month 9</t>
  </si>
  <si>
    <t xml:space="preserve">Debt at month 20</t>
  </si>
  <si>
    <t xml:space="preserve">Months to full repayment</t>
  </si>
  <si>
    <t xml:space="preserve">Facility month repaid</t>
  </si>
  <si>
    <t xml:space="preserve">31 months read as a remaining term (what Stage one implies)</t>
  </si>
  <si>
    <t xml:space="preserve">31 months read as the weighted average life</t>
  </si>
  <si>
    <t xml:space="preserve">What the chapter's outcomes need</t>
  </si>
  <si>
    <t xml:space="preserve">Final maturity, facility month</t>
  </si>
  <si>
    <t xml:space="preserve">Age (months)</t>
  </si>
  <si>
    <t xml:space="preserve">—</t>
  </si>
  <si>
    <t xml:space="preserve">Weight</t>
  </si>
  <si>
    <t xml:space="preserve">Weight, one month shorter</t>
  </si>
  <si>
    <t xml:space="preserve">Tail sum</t>
  </si>
  <si>
    <t xml:space="preserve">Discounted tail</t>
  </si>
  <si>
    <t xml:space="preserve">Weight x remaining term</t>
  </si>
  <si>
    <t xml:space="preserve">What made the difference, tested</t>
  </si>
  <si>
    <t xml:space="preserve">Chapter 22 closes on six decisions taken before closing. Two of its sentences say more than the chapter's own numbers do; a third leaves its path out.</t>
  </si>
  <si>
    <t xml:space="preserve">The advance rate: 88% against the 92% Meridian asked for</t>
  </si>
  <si>
    <t xml:space="preserve">As set</t>
  </si>
  <si>
    <t xml:space="preserve">As Meridian asked</t>
  </si>
  <si>
    <t xml:space="preserve">Advance rate</t>
  </si>
  <si>
    <t xml:space="preserve">The chapter: the 88% advance rate rather than 92% "was the difference between 12% and 8% enhancement, the difference between full repayment and a loss in the stressed case". At 92% the stressed loss of 5.4% leaves 2.6 points of enhancement, and 0.8 even if the EUR 3.5 million handover is counted as a loss, before a euro of the excess spread on row 29 of the Stressed case sheet. What the four points bought is the size of the cushion: a break-even at 5.0 times the base case against 3.3, and 6.6 points left after the stress against 2.6. Both structures repay the senior on the chapter's own path.</t>
  </si>
  <si>
    <t xml:space="preserve">Break-even loss multiple of the 2.4% base case</t>
  </si>
  <si>
    <t xml:space="preserve">Stressed-case cumulative net loss</t>
  </si>
  <si>
    <t xml:space="preserve">Stressed loss as a multiple of the base case</t>
  </si>
  <si>
    <t xml:space="preserve">Enhancement left after the stressed loss</t>
  </si>
  <si>
    <t xml:space="preserve">Servicing transition cost, as a share of the pool at the trigger</t>
  </si>
  <si>
    <t xml:space="preserve">Enhancement left if the transition cost is counted as a loss too</t>
  </si>
  <si>
    <t xml:space="preserve">Senior repaid in full in the stressed case, before any excess spread</t>
  </si>
  <si>
    <t xml:space="preserve">Layered triggers: how much earlier did the revolving period end?</t>
  </si>
  <si>
    <t xml:space="preserve">Revolving period (months)</t>
  </si>
  <si>
    <t xml:space="preserve">The chapter: layered triggers on delinquency and excess spread "ended the revolving period roughly a year earlier than a conventional structure would have". On the chapter's own calendar the revolving period was due to end at month 24; level three fired at month 22, and it fired on the liquidity covenant, an originator trigger any structure carries. A single trigger at the 6.0% cumulative loss level would never have fired: the pool's loss peaks at 5.4%. The year is Chapter 5's general rule, not something this transaction shows. What the layered triggers did deliver came earlier and was different in kind: distributions stopped at month 16 and the advance rate fell at month 19.</t>
  </si>
  <si>
    <t xml:space="preserve">Month level three fired in the stressed case</t>
  </si>
  <si>
    <t xml:space="preserve">What fired it</t>
  </si>
  <si>
    <t xml:space="preserve">the minimum liquidity covenant</t>
  </si>
  <si>
    <t xml:space="preserve">Months by which the revolving period was shortened</t>
  </si>
  <si>
    <t xml:space="preserve">Peak cumulative net loss on the stressed path</t>
  </si>
  <si>
    <t xml:space="preserve">A single cumulative-loss trigger at the level-three loss level</t>
  </si>
  <si>
    <t xml:space="preserve">Would that trigger ever have fired?</t>
  </si>
  <si>
    <t xml:space="preserve">Assets bought in the months saved (EUR m)</t>
  </si>
  <si>
    <t xml:space="preserve">What "roughly a year" would have been (EUR m)</t>
  </si>
  <si>
    <t xml:space="preserve">Month level one stopped Meridian's distributions</t>
  </si>
  <si>
    <t xml:space="preserve">Month level two cut the advance rate</t>
  </si>
  <si>
    <t xml:space="preserve">Meridian's liquidity: what the suspended residual does and does not explain</t>
  </si>
  <si>
    <t xml:space="preserve">If Meridian still holds its closing cash when level one fires, the EUR 4 million of headroom covers fifteen months of the lost residual: on the residual alone the covenant breaks at month 31, not 22. The breach at month 22 needs EUR 2.4 million more from elsewhere, which is where the cure at month 19 comes in (adding unencumbered contracts, "reducing its liquidity further") together with the cost of running a business down. The chapter gives the destination and not the path. The first version of this file put the cover at 1.7 months.</t>
  </si>
  <si>
    <t xml:space="preserve">Residual distribution per quarter (EUR m)</t>
  </si>
  <si>
    <t xml:space="preserve">Months the headroom covers the lost residual</t>
  </si>
  <si>
    <t xml:space="preserve">Month the headroom runs out on the residual alone</t>
  </si>
  <si>
    <t xml:space="preserve">Month of the covenant breach in the chapter</t>
  </si>
  <si>
    <t xml:space="preserve">Residual lost between level one and the breach (EUR m)</t>
  </si>
  <si>
    <t xml:space="preserve">Headroom the residual does not explain (EUR m)</t>
  </si>
  <si>
    <t xml:space="preserve">Checks — every figure this workbook recomputes against the chapter</t>
  </si>
  <si>
    <t xml:space="preserve">The Asset-Based Finance Handbook — companion workbook 2</t>
  </si>
  <si>
    <t xml:space="preserve">Source</t>
  </si>
  <si>
    <t xml:space="preserve">Figure as the book prints it</t>
  </si>
  <si>
    <t xml:space="preserve">Printed</t>
  </si>
  <si>
    <t xml:space="preserve">Computed</t>
  </si>
  <si>
    <t xml:space="preserve">Variance</t>
  </si>
  <si>
    <t xml:space="preserve">How the tolerances are set</t>
  </si>
  <si>
    <t xml:space="preserve">Ch. 22</t>
  </si>
  <si>
    <t xml:space="preserve">Product mix of the book: 54% vehicles, 31% plant, 15% catering</t>
  </si>
  <si>
    <t xml:space="preserve">Tolerance is set line by line to the precision the chapter actually prints.
A percentage printed to one decimal place is checked to 0.0005. A percentage printed whole is checked to 0.005. A multiple printed to one decimal is checked to 0.05. Money printed to the nearest million is checked to 0.5 million; to the nearest hundred thousand, to 0.05 million.
Two lines carry a deliberately wide tolerance and are flagged here rather than buried.
The debt at month nine is checked at 5 percentage points, because the chapter says roughly 60% rather than 60%. The model produces 61% at a 24-month amortisation term. At the 57-month term implied by the chapter's own 31-month weighted average life it produces 85%, which would fail this line by a wide margin. The Amortisation sensitivity sheet sets out the whole reconciliation; this line reproduces the outcome the chapter states, not the mechanism.
The mix decomposition is not checked at all, because the chapter states it qualitatively — almost entirely mix — and the arithmetic on the Screening sheet says about a third rather than almost all. Turning a qualitative claim into a check line with a made-up tolerance would hide the disagreement instead of showing it.
Everything else on this sheet is a figure the chapter prints, recomputed from other figures the chapter prints.</t>
  </si>
  <si>
    <t xml:space="preserve">Channel mix: 61% vendor, 28% broker, 11% direct</t>
  </si>
  <si>
    <t xml:space="preserve">Broker losses of 5.1% against vendor 2.2%: more than double</t>
  </si>
  <si>
    <t xml:space="preserve">The worst broker at 8% against vendor at 2.2%</t>
  </si>
  <si>
    <t xml:space="preserve">Downside cumulative net loss: 2.4% base at 2.5 times</t>
  </si>
  <si>
    <t xml:space="preserve">Downside plus the 1.5% margin</t>
  </si>
  <si>
    <t xml:space="preserve">Credit enhancement at an 88% advance rate</t>
  </si>
  <si>
    <t xml:space="preserve">Break-even loss multiple at 12% over a 2.4% base</t>
  </si>
  <si>
    <t xml:space="preserve">Credit enhancement at the 92% Meridian asked for</t>
  </si>
  <si>
    <t xml:space="preserve">Level three cumulative loss trigger equals the downside case</t>
  </si>
  <si>
    <t xml:space="preserve">Catering limit moved from 8% to 10%</t>
  </si>
  <si>
    <t xml:space="preserve">Reserves funded at closing: 3.5 plus 4.2</t>
  </si>
  <si>
    <t xml:space="preserve">Arrangement fee of 1.25% on EUR 200m</t>
  </si>
  <si>
    <t xml:space="preserve">Commitment fee of 0.75% on the undrawn amount at 84% drawn</t>
  </si>
  <si>
    <t xml:space="preserve">Facility drawn at month nine: 84% of EUR 200m</t>
  </si>
  <si>
    <t xml:space="preserve">Level one fires at month sixteen, not before</t>
  </si>
  <si>
    <t xml:space="preserve">Delinquency of 3.3% against a 3.2% level one trigger</t>
  </si>
  <si>
    <t xml:space="preserve">Excess spread of 6.1% is inside the 4.5% floor</t>
  </si>
  <si>
    <t xml:space="preserve">Residual distribution of EUR 800,000 a quarter, per year</t>
  </si>
  <si>
    <t xml:space="preserve">Sponsor's EUR 8m as a multiple of a year of lost residual</t>
  </si>
  <si>
    <t xml:space="preserve">Liquidity headroom at closing: EUR 14m cash against a EUR 10m covenant</t>
  </si>
  <si>
    <t xml:space="preserve">Tangible net worth headroom: EUR 48m equity against a EUR 40m covenant</t>
  </si>
  <si>
    <t xml:space="preserve">Residual realisations at 91% of booked: the shortfall</t>
  </si>
  <si>
    <t xml:space="preserve">Defective registrations: 11 of a 220-contract sample</t>
  </si>
  <si>
    <t xml:space="preserve">External diligence cost in basis points of the facility</t>
  </si>
  <si>
    <t xml:space="preserve">Advance rate after the level two step-down of 3%</t>
  </si>
  <si>
    <t xml:space="preserve">Stressed case loss of 5.4% against 12% enhancement: senior repaid</t>
  </si>
  <si>
    <t xml:space="preserve">Stressed case loss as a multiple of the 2.4% base case</t>
  </si>
  <si>
    <t xml:space="preserve">Senior debt at month nine: roughly 60% of peak</t>
  </si>
  <si>
    <t xml:space="preserve">Substantially repaid within twenty months</t>
  </si>
  <si>
    <t xml:space="preserve">Eligible pool implied by EUR 168m drawn at 85% after the cure</t>
  </si>
  <si>
    <t xml:space="preserve">At 92% the stressed loss is still absorbed: enhancement left (the chapter says "a loss")</t>
  </si>
  <si>
    <t xml:space="preserve">8% less 5.4%</t>
  </si>
  <si>
    <t xml:space="preserve">At 92%, left even if the handover cost is counted as a loss</t>
  </si>
  <si>
    <t xml:space="preserve">EUR 3.5m over a EUR 197.6m pool</t>
  </si>
  <si>
    <t xml:space="preserve">Break-even multiple at 92%: 3.3 times the base case</t>
  </si>
  <si>
    <t xml:space="preserve">Months by which level three shortened the revolving period (the chapter: roughly a year)</t>
  </si>
  <si>
    <t xml:space="preserve">A single 6.0% cumulative-loss trigger never fires on the stressed path (1 = never)</t>
  </si>
  <si>
    <t xml:space="preserve">Months of lost residual covered by the EUR 4m liquidity headroom (first version: 1.7)</t>
  </si>
  <si>
    <t xml:space="preserve">The catering limit, 8% to 10%: two points of the pool, EUR m</t>
  </si>
  <si>
    <t xml:space="preserve">first version: 0</t>
  </si>
  <si>
    <t xml:space="preserve">Term of the contracts that gives EUR 640m on EUR 31m a month growing 22%</t>
  </si>
  <si>
    <t xml:space="preserve">Remaining term of that book (months)</t>
  </si>
  <si>
    <t xml:space="preserve">Remaining life of that book (months)</t>
  </si>
  <si>
    <t xml:space="preserve">Stage five</t>
  </si>
  <si>
    <t xml:space="preserve">Debt at month nine with 31 months read as a remaining term</t>
  </si>
  <si>
    <t xml:space="preserve">Months to 90% repaid on that reading</t>
  </si>
  <si>
    <t xml:space="preserve">Excess spread on the pool at the start of the run-off (the 4.5% floor never tripped)</t>
  </si>
  <si>
    <t xml:space="preserve">first version: 1.0%</t>
  </si>
  <si>
    <t xml:space="preserve">Commingling reserve in months of the facility's transferred collections (first version: 1.3)</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</si>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</sst>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2">
    <numFmt numFmtId="164" formatCode="General"/>
    <numFmt numFmtId="165" formatCode="#,##0;\(#,##0\);\-"/>
    <numFmt numFmtId="166" formatCode="#,##0.00;\(#,##0.00\);\-"/>
    <numFmt numFmtId="167" formatCode="0.0%"/>
    <numFmt numFmtId="168" formatCode="0.00%"/>
    <numFmt numFmtId="169" formatCode="0.00\x"/>
    <numFmt numFmtId="170" formatCode="0"/>
    <numFmt numFmtId="171" formatCode="0.0"/>
    <numFmt numFmtId="172" formatCode="0.0000%"/>
    <numFmt numFmtId="173" formatCode="0.0000"/>
    <numFmt numFmtId="174" formatCode="#,##0.0;\(#,##0.0\);\-"/>
    <numFmt numFmtId="175" formatCode="0.00"/>
  </numFmts>
  <fonts count="19">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1"/>
      <color rgb="FF8C5A00"/>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10"/>
      <color rgb="FF008000"/>
      <name val="Arial"/>
      <family val="0"/>
      <charset val="1"/>
    </font>
    <font>
      <sz val="9"/>
      <name val="Arial"/>
      <family val="0"/>
      <charset val="1"/>
    </font>
    <font>
      <sz val="9"/>
      <color rgb="FF595959"/>
      <name val="Arial"/>
      <family val="0"/>
      <charset val="1"/>
    </font>
    <font>
      <sz val="10"/>
      <color rgb="FF595959"/>
      <name val="Arial"/>
      <family val="0"/>
      <charset val="1"/>
    </font>
    <font>
      <sz val="9"/>
      <color rgb="FF8C5A00"/>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left" vertical="center" textRotation="0" wrapText="tru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1"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7" fontId="8" fillId="3"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0" fontId="8" fillId="3"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8" fillId="3"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8"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0" fontId="8" fillId="4" borderId="0" xfId="0" applyFont="true" applyBorder="false" applyAlignment="false" applyProtection="false">
      <alignment horizontal="general" vertical="bottom" textRotation="0" wrapText="fals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67" fontId="8" fillId="4" borderId="0" xfId="0" applyFont="tru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3" fontId="6"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70" fontId="9" fillId="2" borderId="0" xfId="0" applyFont="true" applyBorder="false" applyAlignment="true" applyProtection="false">
      <alignment horizontal="center"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74" fontId="10"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7" fontId="16" fillId="4" borderId="0" xfId="0" applyFont="true" applyBorder="false" applyAlignment="false" applyProtection="false">
      <alignment horizontal="general" vertical="bottom" textRotation="0" wrapText="false" indent="0" shrinkToFit="false"/>
      <protection locked="true" hidden="false"/>
    </xf>
    <xf numFmtId="167" fontId="17" fillId="4" borderId="0" xfId="0" applyFont="true" applyBorder="false" applyAlignment="false" applyProtection="false">
      <alignment horizontal="general" vertical="bottom" textRotation="0" wrapText="false" indent="0" shrinkToFit="false"/>
      <protection locked="true" hidden="false"/>
    </xf>
    <xf numFmtId="167" fontId="12" fillId="4"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9" fontId="17"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9" fontId="16" fillId="4" borderId="0" xfId="0" applyFont="true" applyBorder="false" applyAlignment="false" applyProtection="false">
      <alignment horizontal="general" vertical="bottom" textRotation="0" wrapText="false" indent="0" shrinkToFit="false"/>
      <protection locked="true" hidden="false"/>
    </xf>
    <xf numFmtId="169" fontId="17" fillId="4" borderId="0" xfId="0" applyFont="true" applyBorder="false" applyAlignment="false" applyProtection="false">
      <alignment horizontal="general" vertical="bottom" textRotation="0" wrapText="false" indent="0" shrinkToFit="false"/>
      <protection locked="true" hidden="false"/>
    </xf>
    <xf numFmtId="169" fontId="12" fillId="4" borderId="0" xfId="0" applyFont="true" applyBorder="false" applyAlignment="false" applyProtection="false">
      <alignment horizontal="general" vertical="bottom" textRotation="0" wrapText="false" indent="0" shrinkToFit="false"/>
      <protection locked="true" hidden="false"/>
    </xf>
    <xf numFmtId="170" fontId="16" fillId="4" borderId="0" xfId="0" applyFont="true" applyBorder="false" applyAlignment="false" applyProtection="false">
      <alignment horizontal="general" vertical="bottom" textRotation="0" wrapText="false" indent="0" shrinkToFit="false"/>
      <protection locked="true" hidden="false"/>
    </xf>
    <xf numFmtId="170" fontId="17" fillId="4" borderId="0" xfId="0" applyFont="true" applyBorder="false" applyAlignment="false" applyProtection="false">
      <alignment horizontal="general" vertical="bottom" textRotation="0" wrapText="false" indent="0" shrinkToFit="false"/>
      <protection locked="true" hidden="false"/>
    </xf>
    <xf numFmtId="170" fontId="12" fillId="4" borderId="0" xfId="0" applyFont="true" applyBorder="false" applyAlignment="false" applyProtection="false">
      <alignment horizontal="general" vertical="bottom" textRotation="0" wrapText="false" indent="0" shrinkToFit="false"/>
      <protection locked="true" hidden="false"/>
    </xf>
    <xf numFmtId="166" fontId="16" fillId="4" borderId="0" xfId="0" applyFont="true" applyBorder="false" applyAlignment="false" applyProtection="false">
      <alignment horizontal="general" vertical="bottom" textRotation="0" wrapText="false" indent="0" shrinkToFit="false"/>
      <protection locked="true" hidden="false"/>
    </xf>
    <xf numFmtId="166" fontId="17" fillId="4" borderId="0" xfId="0" applyFont="true" applyBorder="false" applyAlignment="false" applyProtection="false">
      <alignment horizontal="general" vertical="bottom" textRotation="0" wrapText="false" indent="0" shrinkToFit="false"/>
      <protection locked="true" hidden="false"/>
    </xf>
    <xf numFmtId="166" fontId="12" fillId="4"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0" fontId="17"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5" fontId="17" fillId="4" borderId="0" xfId="0" applyFont="true" applyBorder="false" applyAlignment="false" applyProtection="false">
      <alignment horizontal="general" vertical="bottom" textRotation="0" wrapText="false" indent="0" shrinkToFit="false"/>
      <protection locked="true" hidden="false"/>
    </xf>
    <xf numFmtId="165" fontId="12" fillId="4" borderId="0" xfId="0" applyFont="true" applyBorder="false" applyAlignment="false" applyProtection="false">
      <alignment horizontal="general" vertical="bottom" textRotation="0" wrapText="false" indent="0" shrinkToFit="false"/>
      <protection locked="true" hidden="false"/>
    </xf>
    <xf numFmtId="168" fontId="16" fillId="4" borderId="0" xfId="0" applyFont="true" applyBorder="false" applyAlignment="false" applyProtection="false">
      <alignment horizontal="general" vertical="bottom" textRotation="0" wrapText="false" indent="0" shrinkToFit="false"/>
      <protection locked="true" hidden="false"/>
    </xf>
    <xf numFmtId="168" fontId="17" fillId="4" borderId="0" xfId="0" applyFont="true" applyBorder="false" applyAlignment="false" applyProtection="false">
      <alignment horizontal="general" vertical="bottom" textRotation="0" wrapText="false" indent="0" shrinkToFit="false"/>
      <protection locked="true" hidden="false"/>
    </xf>
    <xf numFmtId="168" fontId="12"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5" fontId="16" fillId="0" borderId="0" xfId="0" applyFont="true" applyBorder="false" applyAlignment="false" applyProtection="false">
      <alignment horizontal="general" vertical="bottom" textRotation="0" wrapText="false" indent="0" shrinkToFit="false"/>
      <protection locked="true" hidden="false"/>
    </xf>
    <xf numFmtId="175" fontId="17" fillId="0" borderId="0" xfId="0" applyFont="true" applyBorder="false" applyAlignment="false" applyProtection="false">
      <alignment horizontal="general" vertical="bottom" textRotation="0" wrapText="false" indent="0" shrinkToFit="false"/>
      <protection locked="true" hidden="false"/>
    </xf>
    <xf numFmtId="175" fontId="12" fillId="0" borderId="0" xfId="0" applyFont="true" applyBorder="false" applyAlignment="false" applyProtection="false">
      <alignment horizontal="general" vertical="bottom" textRotation="0" wrapText="false" indent="0" shrinkToFit="false"/>
      <protection locked="true" hidden="false"/>
    </xf>
    <xf numFmtId="171" fontId="16" fillId="4" borderId="0" xfId="0" applyFont="true" applyBorder="false" applyAlignment="false" applyProtection="false">
      <alignment horizontal="general" vertical="bottom" textRotation="0" wrapText="false" indent="0" shrinkToFit="false"/>
      <protection locked="true" hidden="false"/>
    </xf>
    <xf numFmtId="171" fontId="17" fillId="4" borderId="0" xfId="0" applyFont="true" applyBorder="false" applyAlignment="false" applyProtection="false">
      <alignment horizontal="general" vertical="bottom" textRotation="0" wrapText="false" indent="0" shrinkToFit="false"/>
      <protection locked="true" hidden="false"/>
    </xf>
    <xf numFmtId="171" fontId="12" fillId="4" borderId="0" xfId="0" applyFont="true" applyBorder="false" applyAlignment="false" applyProtection="false">
      <alignment horizontal="general" vertical="bottom" textRotation="0" wrapText="false" indent="0" shrinkToFit="false"/>
      <protection locked="true" hidden="false"/>
    </xf>
    <xf numFmtId="175" fontId="16" fillId="4" borderId="0" xfId="0" applyFont="true" applyBorder="false" applyAlignment="false" applyProtection="false">
      <alignment horizontal="general" vertical="bottom" textRotation="0" wrapText="false" indent="0" shrinkToFit="false"/>
      <protection locked="true" hidden="false"/>
    </xf>
    <xf numFmtId="175" fontId="17" fillId="4" borderId="0" xfId="0" applyFont="true" applyBorder="false" applyAlignment="false" applyProtection="false">
      <alignment horizontal="general" vertical="bottom" textRotation="0" wrapText="false" indent="0" shrinkToFit="false"/>
      <protection locked="true" hidden="false"/>
    </xf>
    <xf numFmtId="175" fontId="12" fillId="4"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5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5" customFormat="false" ht="15" hidden="false" customHeight="false" outlineLevel="0" collapsed="false">
      <c r="A45" s="3"/>
    </row>
    <row r="46" customFormat="false" ht="15" hidden="false" customHeight="false" outlineLevel="0" collapsed="false">
      <c r="A46" s="3"/>
    </row>
    <row r="47" customFormat="false" ht="15" hidden="false" customHeight="false" outlineLevel="0" collapsed="false">
      <c r="A47" s="3"/>
    </row>
    <row r="48" customFormat="false" ht="15" hidden="false" customHeight="false" outlineLevel="0" collapsed="false">
      <c r="A48" s="3"/>
    </row>
    <row r="50" customFormat="false" ht="79.85" hidden="false" customHeight="false" outlineLevel="0" collapsed="false">
      <c r="A50" s="4" t="s">
        <v>3</v>
      </c>
    </row>
  </sheetData>
  <mergeCells count="1">
    <mergeCell ref="A4:A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6"/>
    <col collapsed="false" customWidth="true" hidden="false" outlineLevel="0" max="6" min="3" style="0" width="15"/>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4</v>
      </c>
    </row>
    <row r="2" customFormat="false" ht="15" hidden="false" customHeight="false" outlineLevel="0" collapsed="false">
      <c r="A2" s="2" t="s">
        <v>5</v>
      </c>
    </row>
    <row r="4" customFormat="false" ht="15" hidden="false" customHeight="false" outlineLevel="0" collapsed="false">
      <c r="A4" s="5" t="s">
        <v>6</v>
      </c>
      <c r="H4" s="5" t="s">
        <v>7</v>
      </c>
    </row>
    <row r="5" customFormat="false" ht="15" hidden="false" customHeight="true" outlineLevel="0" collapsed="false">
      <c r="A5" s="6" t="s">
        <v>8</v>
      </c>
      <c r="C5" s="7" t="n">
        <v>1900</v>
      </c>
      <c r="H5" s="3" t="s">
        <v>9</v>
      </c>
    </row>
    <row r="6" customFormat="false" ht="15" hidden="false" customHeight="false" outlineLevel="0" collapsed="false">
      <c r="A6" s="6" t="s">
        <v>10</v>
      </c>
      <c r="C6" s="7" t="n">
        <v>640</v>
      </c>
      <c r="H6" s="3"/>
    </row>
    <row r="7" customFormat="false" ht="15" hidden="false" customHeight="false" outlineLevel="0" collapsed="false">
      <c r="A7" s="6" t="s">
        <v>11</v>
      </c>
      <c r="C7" s="7" t="n">
        <v>48</v>
      </c>
      <c r="H7" s="3"/>
    </row>
    <row r="8" customFormat="false" ht="15" hidden="false" customHeight="false" outlineLevel="0" collapsed="false">
      <c r="A8" s="6" t="s">
        <v>12</v>
      </c>
      <c r="C8" s="7" t="n">
        <v>520</v>
      </c>
      <c r="H8" s="3"/>
    </row>
    <row r="9" customFormat="false" ht="15" hidden="false" customHeight="false" outlineLevel="0" collapsed="false">
      <c r="A9" s="6" t="s">
        <v>13</v>
      </c>
      <c r="C9" s="7" t="n">
        <v>200</v>
      </c>
      <c r="H9" s="3"/>
    </row>
    <row r="10" customFormat="false" ht="15" hidden="false" customHeight="false" outlineLevel="0" collapsed="false">
      <c r="A10" s="6" t="s">
        <v>14</v>
      </c>
      <c r="C10" s="8" t="n">
        <v>31</v>
      </c>
      <c r="H10" s="3"/>
    </row>
    <row r="11" customFormat="false" ht="15" hidden="false" customHeight="false" outlineLevel="0" collapsed="false">
      <c r="A11" s="6" t="s">
        <v>15</v>
      </c>
      <c r="C11" s="9" t="n">
        <v>0.22</v>
      </c>
      <c r="H11" s="3"/>
    </row>
    <row r="12" customFormat="false" ht="15" hidden="false" customHeight="false" outlineLevel="0" collapsed="false">
      <c r="A12" s="6" t="s">
        <v>16</v>
      </c>
      <c r="C12" s="10" t="n">
        <f aca="false">C10*12</f>
        <v>372</v>
      </c>
      <c r="H12" s="3"/>
    </row>
    <row r="13" customFormat="false" ht="15" hidden="false" customHeight="false" outlineLevel="0" collapsed="false">
      <c r="A13" s="6" t="s">
        <v>17</v>
      </c>
      <c r="C13" s="11" t="n">
        <f aca="false">C12/C6</f>
        <v>0.58125</v>
      </c>
      <c r="H13" s="3"/>
    </row>
    <row r="14" customFormat="false" ht="15" hidden="false" customHeight="false" outlineLevel="0" collapsed="false">
      <c r="A14" s="6" t="s">
        <v>18</v>
      </c>
      <c r="C14" s="12" t="n">
        <f aca="false">C6/C12</f>
        <v>1.72043010752688</v>
      </c>
      <c r="H14" s="3"/>
    </row>
    <row r="15" customFormat="false" ht="15" hidden="false" customHeight="false" outlineLevel="0" collapsed="false">
      <c r="A15" s="6" t="s">
        <v>19</v>
      </c>
      <c r="C15" s="11" t="n">
        <f aca="false">C7/C6</f>
        <v>0.075</v>
      </c>
      <c r="H15" s="3"/>
    </row>
    <row r="16" customFormat="false" ht="15" hidden="false" customHeight="false" outlineLevel="0" collapsed="false">
      <c r="A16" s="6" t="s">
        <v>20</v>
      </c>
      <c r="C16" s="11" t="n">
        <f aca="false">C9/C8</f>
        <v>0.384615384615385</v>
      </c>
      <c r="H16" s="3"/>
    </row>
    <row r="17" customFormat="false" ht="15" hidden="false" customHeight="false" outlineLevel="0" collapsed="false">
      <c r="H17" s="3"/>
    </row>
    <row r="18" customFormat="false" ht="15" hidden="false" customHeight="false" outlineLevel="0" collapsed="false">
      <c r="A18" s="5" t="s">
        <v>21</v>
      </c>
      <c r="H18" s="3"/>
    </row>
    <row r="19" customFormat="false" ht="27.75" hidden="false" customHeight="true" outlineLevel="0" collapsed="false">
      <c r="A19" s="13" t="s">
        <v>22</v>
      </c>
      <c r="B19" s="14"/>
      <c r="C19" s="14" t="s">
        <v>23</v>
      </c>
      <c r="D19" s="14" t="s">
        <v>24</v>
      </c>
      <c r="E19" s="14" t="s">
        <v>25</v>
      </c>
      <c r="F19" s="14" t="s">
        <v>26</v>
      </c>
      <c r="H19" s="3"/>
    </row>
    <row r="20" customFormat="false" ht="15" hidden="false" customHeight="false" outlineLevel="0" collapsed="false">
      <c r="A20" s="6" t="s">
        <v>27</v>
      </c>
      <c r="C20" s="9" t="n">
        <v>0.54</v>
      </c>
      <c r="D20" s="10" t="n">
        <f aca="false">C20*$C$6</f>
        <v>345.6</v>
      </c>
      <c r="H20" s="3"/>
    </row>
    <row r="21" customFormat="false" ht="15" hidden="false" customHeight="false" outlineLevel="0" collapsed="false">
      <c r="A21" s="6" t="s">
        <v>28</v>
      </c>
      <c r="C21" s="9" t="n">
        <v>0.31</v>
      </c>
      <c r="D21" s="10" t="n">
        <f aca="false">C21*$C$6</f>
        <v>198.4</v>
      </c>
      <c r="H21" s="3"/>
    </row>
    <row r="22" customFormat="false" ht="15" hidden="false" customHeight="false" outlineLevel="0" collapsed="false">
      <c r="A22" s="6" t="s">
        <v>29</v>
      </c>
      <c r="C22" s="9" t="n">
        <v>0.15</v>
      </c>
      <c r="D22" s="10" t="n">
        <f aca="false">C22*$C$6</f>
        <v>96</v>
      </c>
      <c r="H22" s="3"/>
    </row>
    <row r="23" customFormat="false" ht="15" hidden="false" customHeight="false" outlineLevel="0" collapsed="false">
      <c r="A23" s="15" t="s">
        <v>30</v>
      </c>
      <c r="C23" s="16" t="n">
        <f aca="false">SUM(C20:C22)</f>
        <v>1</v>
      </c>
      <c r="D23" s="17" t="n">
        <f aca="false">SUM(D20:D22)</f>
        <v>640</v>
      </c>
      <c r="H23" s="3"/>
    </row>
    <row r="24" customFormat="false" ht="15" hidden="false" customHeight="false" outlineLevel="0" collapsed="false">
      <c r="H24" s="3"/>
    </row>
    <row r="25" customFormat="false" ht="15" hidden="false" customHeight="false" outlineLevel="0" collapsed="false">
      <c r="A25" s="5" t="s">
        <v>31</v>
      </c>
      <c r="H25" s="3"/>
    </row>
    <row r="26" customFormat="false" ht="15" hidden="false" customHeight="false" outlineLevel="0" collapsed="false">
      <c r="A26" s="6" t="s">
        <v>32</v>
      </c>
      <c r="C26" s="18" t="n">
        <v>0.021</v>
      </c>
      <c r="H26" s="3"/>
    </row>
    <row r="27" customFormat="false" ht="15" hidden="false" customHeight="false" outlineLevel="0" collapsed="false">
      <c r="A27" s="6" t="s">
        <v>33</v>
      </c>
      <c r="C27" s="18" t="n">
        <v>0.029</v>
      </c>
      <c r="H27" s="3"/>
    </row>
    <row r="28" customFormat="false" ht="15" hidden="false" customHeight="false" outlineLevel="0" collapsed="false">
      <c r="A28" s="6" t="s">
        <v>34</v>
      </c>
      <c r="C28" s="18" t="n">
        <v>0.034</v>
      </c>
      <c r="H28" s="3"/>
    </row>
    <row r="29" customFormat="false" ht="15" hidden="false" customHeight="false" outlineLevel="0" collapsed="false">
      <c r="A29" s="6" t="s">
        <v>35</v>
      </c>
      <c r="C29" s="19" t="n">
        <f aca="false">AVERAGE(C26:C27)</f>
        <v>0.025</v>
      </c>
      <c r="H29" s="3"/>
    </row>
    <row r="30" customFormat="false" ht="15" hidden="false" customHeight="false" outlineLevel="0" collapsed="false">
      <c r="A30" s="20" t="s">
        <v>36</v>
      </c>
      <c r="C30" s="21" t="n">
        <f aca="false">C28-C29</f>
        <v>0.009</v>
      </c>
      <c r="H30" s="3"/>
    </row>
    <row r="31" customFormat="false" ht="15" hidden="false" customHeight="false" outlineLevel="0" collapsed="false">
      <c r="A31" s="6" t="s">
        <v>37</v>
      </c>
      <c r="C31" s="19" t="n">
        <f aca="false">C28-C27</f>
        <v>0.005</v>
      </c>
      <c r="H31" s="3"/>
    </row>
    <row r="32" customFormat="false" ht="15" hidden="false" customHeight="false" outlineLevel="0" collapsed="false">
      <c r="H32" s="3"/>
    </row>
    <row r="33" customFormat="false" ht="15" hidden="false" customHeight="false" outlineLevel="0" collapsed="false">
      <c r="A33" s="5" t="s">
        <v>38</v>
      </c>
      <c r="H33" s="3"/>
    </row>
    <row r="34" customFormat="false" ht="27.75" hidden="false" customHeight="true" outlineLevel="0" collapsed="false">
      <c r="A34" s="13" t="s">
        <v>39</v>
      </c>
      <c r="B34" s="14"/>
      <c r="C34" s="14" t="s">
        <v>40</v>
      </c>
      <c r="D34" s="14" t="s">
        <v>41</v>
      </c>
      <c r="E34" s="14" t="s">
        <v>42</v>
      </c>
      <c r="F34" s="14" t="s">
        <v>43</v>
      </c>
      <c r="H34" s="3"/>
    </row>
    <row r="35" customFormat="false" ht="15" hidden="false" customHeight="false" outlineLevel="0" collapsed="false">
      <c r="A35" s="6" t="s">
        <v>44</v>
      </c>
      <c r="C35" s="9" t="n">
        <v>0.61</v>
      </c>
      <c r="D35" s="11" t="n">
        <f aca="false">(1-$D$36)*C35/(1-$C$36)</f>
        <v>0.68625</v>
      </c>
      <c r="E35" s="18" t="n">
        <v>0.022</v>
      </c>
      <c r="F35" s="19" t="n">
        <f aca="false">C35*E35</f>
        <v>0.01342</v>
      </c>
      <c r="H35" s="3"/>
    </row>
    <row r="36" customFormat="false" ht="15" hidden="false" customHeight="false" outlineLevel="0" collapsed="false">
      <c r="A36" s="6" t="s">
        <v>45</v>
      </c>
      <c r="C36" s="9" t="n">
        <v>0.28</v>
      </c>
      <c r="D36" s="22" t="n">
        <v>0.19</v>
      </c>
      <c r="E36" s="18" t="n">
        <v>0.051</v>
      </c>
      <c r="F36" s="19" t="n">
        <f aca="false">C36*E36</f>
        <v>0.01428</v>
      </c>
      <c r="H36" s="3"/>
    </row>
    <row r="37" customFormat="false" ht="15" hidden="false" customHeight="false" outlineLevel="0" collapsed="false">
      <c r="A37" s="6" t="s">
        <v>46</v>
      </c>
      <c r="C37" s="9" t="n">
        <v>0.11</v>
      </c>
      <c r="D37" s="11" t="n">
        <f aca="false">(1-$D$36)*C37/(1-$C$36)</f>
        <v>0.12375</v>
      </c>
      <c r="E37" s="18" t="n">
        <v>0.024</v>
      </c>
      <c r="F37" s="19" t="n">
        <f aca="false">C37*E37</f>
        <v>0.00264</v>
      </c>
      <c r="H37" s="3"/>
    </row>
    <row r="38" customFormat="false" ht="15" hidden="false" customHeight="false" outlineLevel="0" collapsed="false">
      <c r="A38" s="15" t="s">
        <v>30</v>
      </c>
      <c r="C38" s="16" t="n">
        <f aca="false">SUM(C35:C37)</f>
        <v>1</v>
      </c>
      <c r="D38" s="16" t="n">
        <f aca="false">SUM(D35:D37)</f>
        <v>1</v>
      </c>
      <c r="E38" s="23"/>
      <c r="F38" s="24" t="n">
        <f aca="false">SUMPRODUCT(C35:C37,E35:E37)</f>
        <v>0.03034</v>
      </c>
      <c r="H38" s="3"/>
    </row>
    <row r="39" customFormat="false" ht="15" hidden="false" customHeight="false" outlineLevel="0" collapsed="false">
      <c r="H39" s="3"/>
    </row>
    <row r="40" customFormat="false" ht="15" hidden="false" customHeight="false" outlineLevel="0" collapsed="false">
      <c r="A40" s="20" t="s">
        <v>47</v>
      </c>
      <c r="C40" s="21" t="n">
        <f aca="false">F38</f>
        <v>0.03034</v>
      </c>
      <c r="H40" s="3"/>
    </row>
    <row r="41" customFormat="false" ht="15" hidden="false" customHeight="false" outlineLevel="0" collapsed="false">
      <c r="A41" s="20" t="s">
        <v>48</v>
      </c>
      <c r="C41" s="21" t="n">
        <f aca="false">SUMPRODUCT(D35:D37,E35:E37)</f>
        <v>0.0277575</v>
      </c>
      <c r="H41" s="3"/>
    </row>
    <row r="42" customFormat="false" ht="15" hidden="false" customHeight="false" outlineLevel="0" collapsed="false">
      <c r="A42" s="20" t="s">
        <v>49</v>
      </c>
      <c r="C42" s="21" t="n">
        <f aca="false">C40-C41</f>
        <v>0.0025825</v>
      </c>
      <c r="H42" s="3"/>
    </row>
    <row r="43" customFormat="false" ht="15" hidden="false" customHeight="false" outlineLevel="0" collapsed="false">
      <c r="A43" s="6" t="s">
        <v>50</v>
      </c>
      <c r="C43" s="19" t="n">
        <f aca="false">C30</f>
        <v>0.009</v>
      </c>
      <c r="H43" s="3"/>
    </row>
    <row r="44" customFormat="false" ht="15" hidden="false" customHeight="false" outlineLevel="0" collapsed="false">
      <c r="A44" s="20" t="s">
        <v>51</v>
      </c>
      <c r="C44" s="25" t="n">
        <f aca="false">IF(C43=0,0,C42/C43)</f>
        <v>0.286944444444444</v>
      </c>
      <c r="H44" s="3"/>
    </row>
    <row r="45" customFormat="false" ht="15" hidden="false" customHeight="false" outlineLevel="0" collapsed="false">
      <c r="H45" s="3"/>
    </row>
    <row r="46" customFormat="false" ht="15" hidden="false" customHeight="false" outlineLevel="0" collapsed="false">
      <c r="A46" s="6" t="s">
        <v>52</v>
      </c>
      <c r="C46" s="26" t="n">
        <f aca="false">E36/E35</f>
        <v>2.31818181818182</v>
      </c>
      <c r="H46" s="3"/>
    </row>
    <row r="47" customFormat="false" ht="15" hidden="false" customHeight="false" outlineLevel="0" collapsed="false">
      <c r="A47" s="6" t="s">
        <v>53</v>
      </c>
      <c r="C47" s="18" t="n">
        <v>0.08</v>
      </c>
      <c r="H47" s="3"/>
    </row>
    <row r="48" customFormat="false" ht="15" hidden="false" customHeight="false" outlineLevel="0" collapsed="false">
      <c r="A48" s="6" t="s">
        <v>54</v>
      </c>
      <c r="C48" s="26" t="n">
        <f aca="false">C47/E35</f>
        <v>3.63636363636364</v>
      </c>
      <c r="H48" s="3"/>
    </row>
    <row r="50" customFormat="false" ht="15" hidden="false" customHeight="false" outlineLevel="0" collapsed="false">
      <c r="A50" s="6" t="s">
        <v>55</v>
      </c>
      <c r="C50" s="19" t="n">
        <f aca="false">2*C29</f>
        <v>0.05</v>
      </c>
    </row>
  </sheetData>
  <mergeCells count="1">
    <mergeCell ref="H5:H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6"/>
    <col collapsed="false" customWidth="true" hidden="false" outlineLevel="0" max="5" min="3" style="0" width="15"/>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56</v>
      </c>
    </row>
    <row r="2" customFormat="false" ht="15" hidden="false" customHeight="false" outlineLevel="0" collapsed="false">
      <c r="A2" s="2" t="s">
        <v>57</v>
      </c>
    </row>
    <row r="4" customFormat="false" ht="15" hidden="false" customHeight="false" outlineLevel="0" collapsed="false">
      <c r="A4" s="5" t="s">
        <v>58</v>
      </c>
      <c r="G4" s="5" t="s">
        <v>59</v>
      </c>
    </row>
    <row r="5" customFormat="false" ht="15" hidden="false" customHeight="true" outlineLevel="0" collapsed="false">
      <c r="A5" s="6" t="s">
        <v>60</v>
      </c>
      <c r="C5" s="7" t="n">
        <v>340000</v>
      </c>
      <c r="G5" s="3" t="s">
        <v>61</v>
      </c>
    </row>
    <row r="6" customFormat="false" ht="15" hidden="false" customHeight="false" outlineLevel="0" collapsed="false">
      <c r="A6" s="6" t="s">
        <v>62</v>
      </c>
      <c r="C6" s="27" t="n">
        <f aca="false">Screening!C9</f>
        <v>200</v>
      </c>
      <c r="G6" s="3"/>
    </row>
    <row r="7" customFormat="false" ht="15" hidden="false" customHeight="false" outlineLevel="0" collapsed="false">
      <c r="A7" s="6" t="s">
        <v>63</v>
      </c>
      <c r="C7" s="19" t="n">
        <f aca="false">C5/(C6*1000000)</f>
        <v>0.0017</v>
      </c>
      <c r="G7" s="3"/>
    </row>
    <row r="8" customFormat="false" ht="15" hidden="false" customHeight="false" outlineLevel="0" collapsed="false">
      <c r="A8" s="6" t="s">
        <v>64</v>
      </c>
      <c r="C8" s="12" t="n">
        <f aca="false">C7*10000</f>
        <v>17</v>
      </c>
      <c r="G8" s="3"/>
    </row>
    <row r="9" customFormat="false" ht="15" hidden="false" customHeight="false" outlineLevel="0" collapsed="false">
      <c r="A9" s="6" t="s">
        <v>65</v>
      </c>
      <c r="C9" s="28" t="n">
        <f aca="false">2+9</f>
        <v>11</v>
      </c>
      <c r="G9" s="3"/>
    </row>
    <row r="10" customFormat="false" ht="15" hidden="false" customHeight="false" outlineLevel="0" collapsed="false">
      <c r="G10" s="3"/>
    </row>
    <row r="11" customFormat="false" ht="15" hidden="false" customHeight="false" outlineLevel="0" collapsed="false">
      <c r="A11" s="5" t="s">
        <v>66</v>
      </c>
      <c r="G11" s="3"/>
    </row>
    <row r="12" customFormat="false" ht="27.75" hidden="false" customHeight="true" outlineLevel="0" collapsed="false">
      <c r="A12" s="13" t="s">
        <v>67</v>
      </c>
      <c r="B12" s="14"/>
      <c r="C12" s="14" t="s">
        <v>68</v>
      </c>
      <c r="D12" s="14" t="s">
        <v>69</v>
      </c>
      <c r="E12" s="14" t="s">
        <v>70</v>
      </c>
      <c r="G12" s="3"/>
    </row>
    <row r="13" customFormat="false" ht="15" hidden="false" customHeight="false" outlineLevel="0" collapsed="false">
      <c r="A13" s="6" t="s">
        <v>71</v>
      </c>
      <c r="C13" s="29" t="n">
        <v>220</v>
      </c>
      <c r="G13" s="3"/>
    </row>
    <row r="14" customFormat="false" ht="15" hidden="false" customHeight="false" outlineLevel="0" collapsed="false">
      <c r="A14" s="6" t="s">
        <v>72</v>
      </c>
      <c r="C14" s="30" t="n">
        <v>4</v>
      </c>
      <c r="D14" s="19" t="n">
        <f aca="false">C14/$C$13</f>
        <v>0.0181818181818182</v>
      </c>
      <c r="E14" s="12" t="n">
        <f aca="false">D14*Screening!$C$6</f>
        <v>11.6363636363636</v>
      </c>
      <c r="G14" s="3"/>
    </row>
    <row r="15" customFormat="false" ht="15" hidden="false" customHeight="false" outlineLevel="0" collapsed="false">
      <c r="A15" s="6" t="s">
        <v>73</v>
      </c>
      <c r="C15" s="30" t="n">
        <v>11</v>
      </c>
      <c r="D15" s="19" t="n">
        <f aca="false">C15/$C$13</f>
        <v>0.05</v>
      </c>
      <c r="E15" s="12" t="n">
        <f aca="false">D15*Screening!$C$6</f>
        <v>32</v>
      </c>
      <c r="G15" s="3"/>
    </row>
    <row r="16" customFormat="false" ht="15" hidden="false" customHeight="false" outlineLevel="0" collapsed="false">
      <c r="A16" s="6" t="s">
        <v>74</v>
      </c>
      <c r="C16" s="30" t="n">
        <v>3</v>
      </c>
      <c r="D16" s="19" t="n">
        <f aca="false">C16/$C$13</f>
        <v>0.0136363636363636</v>
      </c>
      <c r="E16" s="12" t="n">
        <f aca="false">D16*Screening!$C$6</f>
        <v>8.72727272727273</v>
      </c>
      <c r="G16" s="3"/>
    </row>
    <row r="17" customFormat="false" ht="15" hidden="false" customHeight="false" outlineLevel="0" collapsed="false">
      <c r="A17" s="20" t="s">
        <v>75</v>
      </c>
      <c r="C17" s="31" t="n">
        <f aca="false">SUM(C14:C16)</f>
        <v>18</v>
      </c>
      <c r="D17" s="21" t="n">
        <f aca="false">C17/C13</f>
        <v>0.0818181818181818</v>
      </c>
      <c r="E17" s="32" t="n">
        <f aca="false">D17*Screening!$C$6</f>
        <v>52.3636363636364</v>
      </c>
      <c r="G17" s="3"/>
    </row>
    <row r="18" customFormat="false" ht="15" hidden="false" customHeight="false" outlineLevel="0" collapsed="false">
      <c r="A18" s="6" t="s">
        <v>76</v>
      </c>
      <c r="C18" s="28" t="n">
        <f aca="false">C15</f>
        <v>11</v>
      </c>
      <c r="G18" s="3"/>
    </row>
    <row r="19" customFormat="false" ht="15" hidden="false" customHeight="false" outlineLevel="0" collapsed="false">
      <c r="A19" s="6" t="s">
        <v>77</v>
      </c>
      <c r="C19" s="19" t="n">
        <f aca="false">C13/(Screening!C6*1000000/100000)</f>
        <v>0.034375</v>
      </c>
      <c r="G19" s="3"/>
    </row>
    <row r="20" customFormat="false" ht="15" hidden="false" customHeight="false" outlineLevel="0" collapsed="false">
      <c r="G20" s="3"/>
    </row>
    <row r="21" customFormat="false" ht="15" hidden="false" customHeight="false" outlineLevel="0" collapsed="false">
      <c r="A21" s="5" t="s">
        <v>78</v>
      </c>
      <c r="G21" s="3"/>
    </row>
    <row r="22" customFormat="false" ht="15" hidden="false" customHeight="false" outlineLevel="0" collapsed="false">
      <c r="A22" s="6" t="s">
        <v>79</v>
      </c>
      <c r="C22" s="9" t="n">
        <v>0.12</v>
      </c>
      <c r="G22" s="3"/>
    </row>
    <row r="23" customFormat="false" ht="15" hidden="false" customHeight="false" outlineLevel="0" collapsed="false">
      <c r="A23" s="6" t="s">
        <v>80</v>
      </c>
      <c r="C23" s="12" t="n">
        <f aca="false">C22*Screening!C6</f>
        <v>76.8</v>
      </c>
      <c r="G23" s="3"/>
    </row>
    <row r="24" customFormat="false" ht="15" hidden="false" customHeight="false" outlineLevel="0" collapsed="false">
      <c r="A24" s="6" t="s">
        <v>81</v>
      </c>
      <c r="C24" s="9" t="n">
        <v>0.91</v>
      </c>
      <c r="G24" s="3"/>
    </row>
    <row r="25" customFormat="false" ht="15" hidden="false" customHeight="false" outlineLevel="0" collapsed="false">
      <c r="A25" s="20" t="s">
        <v>82</v>
      </c>
      <c r="C25" s="25" t="n">
        <f aca="false">1-C24</f>
        <v>0.09</v>
      </c>
      <c r="G25" s="3"/>
    </row>
    <row r="26" customFormat="false" ht="15" hidden="false" customHeight="false" outlineLevel="0" collapsed="false">
      <c r="A26" s="6" t="s">
        <v>83</v>
      </c>
      <c r="C26" s="30" t="n">
        <v>4</v>
      </c>
      <c r="G26" s="3"/>
    </row>
    <row r="27" customFormat="false" ht="15" hidden="false" customHeight="false" outlineLevel="0" collapsed="false">
      <c r="A27" s="6" t="s">
        <v>84</v>
      </c>
      <c r="C27" s="22" t="n">
        <v>0.3</v>
      </c>
      <c r="G27" s="3"/>
    </row>
    <row r="28" customFormat="false" ht="15" hidden="false" customHeight="false" outlineLevel="0" collapsed="false">
      <c r="A28" s="20" t="s">
        <v>85</v>
      </c>
      <c r="C28" s="32" t="n">
        <f aca="false">C23*C27*C25</f>
        <v>2.0736</v>
      </c>
      <c r="G28" s="3"/>
    </row>
    <row r="29" customFormat="false" ht="15" hidden="false" customHeight="false" outlineLevel="0" collapsed="false">
      <c r="A29" s="6" t="s">
        <v>86</v>
      </c>
      <c r="C29" s="19" t="n">
        <f aca="false">C28/Screening!C6</f>
        <v>0.00324</v>
      </c>
      <c r="G29" s="3"/>
    </row>
    <row r="30" customFormat="false" ht="15" hidden="false" customHeight="false" outlineLevel="0" collapsed="false">
      <c r="G30" s="3"/>
    </row>
    <row r="31" customFormat="false" ht="15" hidden="false" customHeight="false" outlineLevel="0" collapsed="false">
      <c r="A31" s="5" t="s">
        <v>87</v>
      </c>
      <c r="G31" s="3"/>
    </row>
    <row r="32" customFormat="false" ht="15" hidden="false" customHeight="false" outlineLevel="0" collapsed="false">
      <c r="A32" s="6" t="s">
        <v>88</v>
      </c>
      <c r="C32" s="30" t="n">
        <v>4</v>
      </c>
      <c r="G32" s="3"/>
    </row>
    <row r="33" customFormat="false" ht="15" hidden="false" customHeight="false" outlineLevel="0" collapsed="false">
      <c r="A33" s="6" t="s">
        <v>89</v>
      </c>
      <c r="C33" s="30" t="n">
        <v>14</v>
      </c>
      <c r="G33" s="3"/>
    </row>
    <row r="34" customFormat="false" ht="15" hidden="false" customHeight="false" outlineLevel="0" collapsed="false">
      <c r="A34" s="6" t="s">
        <v>90</v>
      </c>
      <c r="C34" s="9" t="n">
        <v>0.08</v>
      </c>
      <c r="G34" s="3"/>
    </row>
    <row r="35" customFormat="false" ht="15" hidden="false" customHeight="false" outlineLevel="0" collapsed="false">
      <c r="A35" s="6" t="s">
        <v>91</v>
      </c>
      <c r="C35" s="30" t="n">
        <v>2022</v>
      </c>
      <c r="G35" s="3"/>
    </row>
    <row r="36" customFormat="false" ht="15" hidden="false" customHeight="false" outlineLevel="0" collapsed="false">
      <c r="A36" s="6" t="s">
        <v>92</v>
      </c>
      <c r="C36" s="12" t="n">
        <f aca="false">C34*Screening!C6</f>
        <v>51.2</v>
      </c>
      <c r="G36" s="3"/>
    </row>
    <row r="37" customFormat="false" ht="15" hidden="false" customHeight="false" outlineLevel="0" collapsed="false">
      <c r="A37" s="6" t="s">
        <v>93</v>
      </c>
      <c r="C37" s="10" t="n">
        <f aca="false">Screening!C6*1000000/100000/C33</f>
        <v>457.142857142857</v>
      </c>
      <c r="G37" s="3"/>
    </row>
    <row r="38" customFormat="false" ht="15" hidden="false" customHeight="false" outlineLevel="0" collapsed="false">
      <c r="A38" s="20" t="s">
        <v>94</v>
      </c>
      <c r="C38" s="33" t="n">
        <f aca="false">C37*2</f>
        <v>914.285714285714</v>
      </c>
      <c r="G38" s="3"/>
    </row>
    <row r="39" customFormat="false" ht="15" hidden="false" customHeight="false" outlineLevel="0" collapsed="false">
      <c r="G39" s="3"/>
    </row>
    <row r="40" customFormat="false" ht="15" hidden="false" customHeight="false" outlineLevel="0" collapsed="false">
      <c r="A40" s="5" t="s">
        <v>95</v>
      </c>
      <c r="G40" s="3"/>
    </row>
    <row r="41" customFormat="false" ht="15" hidden="false" customHeight="false" outlineLevel="0" collapsed="false">
      <c r="A41" s="6" t="s">
        <v>96</v>
      </c>
      <c r="C41" s="7" t="n">
        <v>14</v>
      </c>
      <c r="G41" s="3"/>
    </row>
    <row r="42" customFormat="false" ht="15" hidden="false" customHeight="false" outlineLevel="0" collapsed="false">
      <c r="A42" s="6" t="s">
        <v>11</v>
      </c>
      <c r="C42" s="7" t="n">
        <v>48</v>
      </c>
      <c r="G42" s="3"/>
    </row>
    <row r="43" customFormat="false" ht="15" hidden="false" customHeight="false" outlineLevel="0" collapsed="false">
      <c r="A43" s="6" t="s">
        <v>97</v>
      </c>
      <c r="C43" s="7" t="n">
        <v>10</v>
      </c>
      <c r="G43" s="3"/>
    </row>
    <row r="44" customFormat="false" ht="15" hidden="false" customHeight="false" outlineLevel="0" collapsed="false">
      <c r="A44" s="6" t="s">
        <v>98</v>
      </c>
      <c r="C44" s="7" t="n">
        <v>40</v>
      </c>
      <c r="G44" s="3"/>
    </row>
    <row r="45" customFormat="false" ht="15" hidden="false" customHeight="false" outlineLevel="0" collapsed="false">
      <c r="A45" s="20" t="s">
        <v>99</v>
      </c>
      <c r="C45" s="33" t="n">
        <f aca="false">C41-C43</f>
        <v>4</v>
      </c>
      <c r="G45" s="3"/>
    </row>
    <row r="46" customFormat="false" ht="15" hidden="false" customHeight="false" outlineLevel="0" collapsed="false">
      <c r="A46" s="20" t="s">
        <v>100</v>
      </c>
      <c r="C46" s="33" t="n">
        <f aca="false">C42-C44</f>
        <v>8</v>
      </c>
      <c r="G46" s="3"/>
    </row>
    <row r="47" customFormat="false" ht="15" hidden="false" customHeight="false" outlineLevel="0" collapsed="false">
      <c r="A47" s="6" t="s">
        <v>101</v>
      </c>
      <c r="C47" s="11" t="n">
        <f aca="false">C45/C43</f>
        <v>0.4</v>
      </c>
      <c r="G47" s="3"/>
    </row>
    <row r="48" customFormat="false" ht="15" hidden="false" customHeight="false" outlineLevel="0" collapsed="false">
      <c r="A48" s="6" t="s">
        <v>102</v>
      </c>
      <c r="C48" s="12" t="n">
        <f aca="false">C45/('Eighteen months'!C22/3/1000000)</f>
        <v>15</v>
      </c>
      <c r="G48" s="3"/>
    </row>
    <row r="49" customFormat="false" ht="15" hidden="false" customHeight="false" outlineLevel="0" collapsed="false">
      <c r="G49" s="3"/>
    </row>
    <row r="50" customFormat="false" ht="15" hidden="false" customHeight="false" outlineLevel="0" collapsed="false">
      <c r="G50" s="3"/>
    </row>
  </sheetData>
  <mergeCells count="1">
    <mergeCell ref="G5:G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6"/>
    <col collapsed="false" customWidth="true" hidden="false" outlineLevel="0" max="5" min="3" style="0" width="16"/>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103</v>
      </c>
    </row>
    <row r="2" customFormat="false" ht="15" hidden="false" customHeight="false" outlineLevel="0" collapsed="false">
      <c r="A2" s="2" t="s">
        <v>104</v>
      </c>
    </row>
    <row r="4" customFormat="false" ht="15" hidden="false" customHeight="false" outlineLevel="0" collapsed="false">
      <c r="A4" s="5" t="s">
        <v>105</v>
      </c>
      <c r="G4" s="5" t="s">
        <v>106</v>
      </c>
    </row>
    <row r="5" customFormat="false" ht="15" hidden="false" customHeight="true" outlineLevel="0" collapsed="false">
      <c r="A5" s="6" t="s">
        <v>107</v>
      </c>
      <c r="C5" s="7" t="n">
        <v>200</v>
      </c>
      <c r="G5" s="3" t="s">
        <v>108</v>
      </c>
    </row>
    <row r="6" customFormat="false" ht="15" hidden="false" customHeight="false" outlineLevel="0" collapsed="false">
      <c r="A6" s="6" t="s">
        <v>109</v>
      </c>
      <c r="C6" s="8" t="n">
        <v>2</v>
      </c>
      <c r="G6" s="3"/>
    </row>
    <row r="7" customFormat="false" ht="15" hidden="false" customHeight="false" outlineLevel="0" collapsed="false">
      <c r="A7" s="6" t="s">
        <v>110</v>
      </c>
      <c r="C7" s="8" t="n">
        <v>4</v>
      </c>
      <c r="G7" s="3"/>
    </row>
    <row r="8" customFormat="false" ht="15" hidden="false" customHeight="false" outlineLevel="0" collapsed="false">
      <c r="A8" s="6" t="s">
        <v>111</v>
      </c>
      <c r="C8" s="12" t="n">
        <f aca="false">C7-C6</f>
        <v>2</v>
      </c>
      <c r="G8" s="3"/>
    </row>
    <row r="9" customFormat="false" ht="15" hidden="false" customHeight="false" outlineLevel="0" collapsed="false">
      <c r="G9" s="3"/>
    </row>
    <row r="10" customFormat="false" ht="15" hidden="false" customHeight="false" outlineLevel="0" collapsed="false">
      <c r="A10" s="5" t="s">
        <v>112</v>
      </c>
      <c r="G10" s="3"/>
    </row>
    <row r="11" customFormat="false" ht="15" hidden="false" customHeight="false" outlineLevel="0" collapsed="false">
      <c r="A11" s="6" t="s">
        <v>113</v>
      </c>
      <c r="C11" s="22" t="n">
        <v>0.024</v>
      </c>
      <c r="G11" s="3"/>
    </row>
    <row r="12" customFormat="false" ht="15" hidden="false" customHeight="false" outlineLevel="0" collapsed="false">
      <c r="A12" s="6" t="s">
        <v>114</v>
      </c>
      <c r="C12" s="34" t="n">
        <v>2.5</v>
      </c>
      <c r="G12" s="3"/>
    </row>
    <row r="13" customFormat="false" ht="15" hidden="false" customHeight="false" outlineLevel="0" collapsed="false">
      <c r="A13" s="20" t="s">
        <v>115</v>
      </c>
      <c r="C13" s="25" t="n">
        <f aca="false">C11*C12</f>
        <v>0.06</v>
      </c>
      <c r="G13" s="3"/>
    </row>
    <row r="14" customFormat="false" ht="15" hidden="false" customHeight="false" outlineLevel="0" collapsed="false">
      <c r="A14" s="6" t="s">
        <v>116</v>
      </c>
      <c r="C14" s="22" t="n">
        <v>0.015</v>
      </c>
      <c r="G14" s="3"/>
    </row>
    <row r="15" customFormat="false" ht="15" hidden="false" customHeight="false" outlineLevel="0" collapsed="false">
      <c r="A15" s="20" t="s">
        <v>117</v>
      </c>
      <c r="C15" s="25" t="n">
        <f aca="false">C13+C14</f>
        <v>0.075</v>
      </c>
      <c r="G15" s="3"/>
    </row>
    <row r="16" customFormat="false" ht="15" hidden="false" customHeight="false" outlineLevel="0" collapsed="false">
      <c r="A16" s="6" t="s">
        <v>118</v>
      </c>
      <c r="C16" s="22" t="n">
        <v>0.88</v>
      </c>
      <c r="G16" s="3"/>
    </row>
    <row r="17" customFormat="false" ht="15" hidden="false" customHeight="false" outlineLevel="0" collapsed="false">
      <c r="A17" s="6" t="s">
        <v>119</v>
      </c>
      <c r="C17" s="9" t="n">
        <v>0.92</v>
      </c>
      <c r="G17" s="3"/>
    </row>
    <row r="18" customFormat="false" ht="15" hidden="false" customHeight="false" outlineLevel="0" collapsed="false">
      <c r="A18" s="20" t="s">
        <v>120</v>
      </c>
      <c r="C18" s="25" t="n">
        <f aca="false">1-C16</f>
        <v>0.12</v>
      </c>
      <c r="G18" s="3"/>
    </row>
    <row r="19" customFormat="false" ht="15" hidden="false" customHeight="false" outlineLevel="0" collapsed="false">
      <c r="A19" s="20" t="s">
        <v>121</v>
      </c>
      <c r="C19" s="35" t="n">
        <f aca="false">C18/C11</f>
        <v>5</v>
      </c>
      <c r="G19" s="3"/>
    </row>
    <row r="20" customFormat="false" ht="15" hidden="false" customHeight="false" outlineLevel="0" collapsed="false">
      <c r="A20" s="6" t="s">
        <v>122</v>
      </c>
      <c r="C20" s="11" t="n">
        <f aca="false">C18-C15</f>
        <v>0.045</v>
      </c>
      <c r="G20" s="3"/>
    </row>
    <row r="21" customFormat="false" ht="15" hidden="false" customHeight="false" outlineLevel="0" collapsed="false">
      <c r="G21" s="3"/>
    </row>
    <row r="22" customFormat="false" ht="15" hidden="false" customHeight="false" outlineLevel="0" collapsed="false">
      <c r="A22" s="5" t="s">
        <v>123</v>
      </c>
      <c r="G22" s="3"/>
    </row>
    <row r="23" customFormat="false" ht="27.75" hidden="false" customHeight="true" outlineLevel="0" collapsed="false">
      <c r="A23" s="13" t="s">
        <v>124</v>
      </c>
      <c r="B23" s="14"/>
      <c r="C23" s="14" t="s">
        <v>125</v>
      </c>
      <c r="D23" s="14" t="s">
        <v>126</v>
      </c>
      <c r="E23" s="14" t="s">
        <v>127</v>
      </c>
      <c r="G23" s="3"/>
    </row>
    <row r="24" customFormat="false" ht="15" hidden="false" customHeight="false" outlineLevel="0" collapsed="false">
      <c r="A24" s="6" t="s">
        <v>128</v>
      </c>
      <c r="C24" s="22" t="n">
        <v>0.005</v>
      </c>
      <c r="D24" s="2" t="s">
        <v>129</v>
      </c>
      <c r="G24" s="3"/>
    </row>
    <row r="25" customFormat="false" ht="15" hidden="false" customHeight="false" outlineLevel="0" collapsed="false">
      <c r="A25" s="6" t="s">
        <v>130</v>
      </c>
      <c r="C25" s="22" t="n">
        <v>0.1</v>
      </c>
      <c r="D25" s="9" t="n">
        <v>0.15</v>
      </c>
      <c r="E25" s="36" t="str">
        <f aca="false">IF(D25&gt;C25,"binds — "&amp;TEXT(D25-C25,"0.0%")&amp;" excluded","does not bind")</f>
        <v>binds — 5.0% excluded</v>
      </c>
      <c r="G25" s="3"/>
    </row>
    <row r="26" customFormat="false" ht="15" hidden="false" customHeight="false" outlineLevel="0" collapsed="false">
      <c r="A26" s="6" t="s">
        <v>131</v>
      </c>
      <c r="C26" s="22" t="n">
        <v>0.2</v>
      </c>
      <c r="D26" s="9" t="n">
        <v>0.28</v>
      </c>
      <c r="E26" s="36" t="str">
        <f aca="false">IF(D26&gt;C26,"binds — "&amp;TEXT(D26-C26,"0.0%")&amp;" excluded","does not bind")</f>
        <v>binds — 8.0% excluded</v>
      </c>
      <c r="G26" s="3"/>
    </row>
    <row r="27" customFormat="false" ht="15" hidden="false" customHeight="false" outlineLevel="0" collapsed="false">
      <c r="A27" s="6" t="s">
        <v>132</v>
      </c>
      <c r="C27" s="22" t="n">
        <v>0.05</v>
      </c>
      <c r="D27" s="2" t="s">
        <v>129</v>
      </c>
      <c r="G27" s="3"/>
    </row>
    <row r="28" customFormat="false" ht="15" hidden="false" customHeight="false" outlineLevel="0" collapsed="false">
      <c r="A28" s="6" t="s">
        <v>133</v>
      </c>
      <c r="C28" s="22" t="n">
        <v>0.55</v>
      </c>
      <c r="D28" s="2" t="s">
        <v>129</v>
      </c>
      <c r="G28" s="3"/>
    </row>
    <row r="29" customFormat="false" ht="15" hidden="false" customHeight="false" outlineLevel="0" collapsed="false">
      <c r="A29" s="6" t="s">
        <v>134</v>
      </c>
      <c r="C29" s="22" t="n">
        <v>0.25</v>
      </c>
      <c r="D29" s="2" t="s">
        <v>129</v>
      </c>
      <c r="G29" s="3"/>
    </row>
    <row r="30" customFormat="false" ht="15" hidden="false" customHeight="false" outlineLevel="0" collapsed="false">
      <c r="A30" s="6" t="s">
        <v>135</v>
      </c>
      <c r="C30" s="9" t="n">
        <v>0.08</v>
      </c>
      <c r="G30" s="3"/>
    </row>
    <row r="31" customFormat="false" ht="15" hidden="false" customHeight="false" outlineLevel="0" collapsed="false">
      <c r="A31" s="6" t="s">
        <v>136</v>
      </c>
      <c r="C31" s="11" t="n">
        <f aca="false">C25</f>
        <v>0.1</v>
      </c>
      <c r="G31" s="3"/>
    </row>
    <row r="32" customFormat="false" ht="15" hidden="false" customHeight="false" outlineLevel="0" collapsed="false">
      <c r="A32" s="20" t="s">
        <v>137</v>
      </c>
      <c r="C32" s="32" t="n">
        <f aca="false">(C31-C30)*'Stressed case'!B6</f>
        <v>3.95294117647059</v>
      </c>
      <c r="G32" s="3"/>
    </row>
    <row r="33" customFormat="false" ht="15" hidden="false" customHeight="false" outlineLevel="0" collapsed="false">
      <c r="A33" s="6" t="s">
        <v>138</v>
      </c>
      <c r="C33" s="9" t="n">
        <v>0.17</v>
      </c>
      <c r="G33" s="3"/>
    </row>
    <row r="34" customFormat="false" ht="15" hidden="false" customHeight="false" outlineLevel="0" collapsed="false">
      <c r="A34" s="6" t="s">
        <v>139</v>
      </c>
      <c r="C34" s="12" t="n">
        <f aca="false">C33*Screening!C6</f>
        <v>108.8</v>
      </c>
      <c r="G34" s="3"/>
    </row>
    <row r="35" customFormat="false" ht="15" hidden="false" customHeight="false" outlineLevel="0" collapsed="false">
      <c r="G35" s="3"/>
    </row>
    <row r="36" customFormat="false" ht="15" hidden="false" customHeight="false" outlineLevel="0" collapsed="false">
      <c r="A36" s="5" t="s">
        <v>140</v>
      </c>
      <c r="G36" s="3"/>
    </row>
    <row r="37" customFormat="false" ht="27.75" hidden="false" customHeight="true" outlineLevel="0" collapsed="false">
      <c r="A37" s="13" t="s">
        <v>125</v>
      </c>
      <c r="B37" s="14"/>
      <c r="C37" s="14" t="s">
        <v>141</v>
      </c>
      <c r="D37" s="14" t="s">
        <v>142</v>
      </c>
      <c r="E37" s="14" t="s">
        <v>143</v>
      </c>
      <c r="G37" s="3"/>
    </row>
    <row r="38" customFormat="false" ht="15" hidden="false" customHeight="false" outlineLevel="0" collapsed="false">
      <c r="A38" s="20" t="s">
        <v>144</v>
      </c>
      <c r="C38" s="37" t="n">
        <v>0.032</v>
      </c>
      <c r="D38" s="38" t="s">
        <v>145</v>
      </c>
      <c r="E38" s="38" t="s">
        <v>146</v>
      </c>
      <c r="G38" s="3"/>
    </row>
    <row r="39" customFormat="false" ht="15" hidden="false" customHeight="false" outlineLevel="0" collapsed="false">
      <c r="A39" s="20" t="s">
        <v>147</v>
      </c>
      <c r="C39" s="37" t="n">
        <v>0.04</v>
      </c>
      <c r="D39" s="38" t="s">
        <v>148</v>
      </c>
      <c r="E39" s="38" t="s">
        <v>149</v>
      </c>
      <c r="G39" s="3"/>
    </row>
    <row r="40" customFormat="false" ht="15" hidden="false" customHeight="false" outlineLevel="0" collapsed="false">
      <c r="A40" s="20" t="s">
        <v>150</v>
      </c>
      <c r="C40" s="37" t="n">
        <v>0.05</v>
      </c>
      <c r="D40" s="38" t="s">
        <v>151</v>
      </c>
      <c r="E40" s="38" t="s">
        <v>152</v>
      </c>
      <c r="G40" s="3"/>
    </row>
    <row r="41" customFormat="false" ht="15" hidden="false" customHeight="false" outlineLevel="0" collapsed="false">
      <c r="G41" s="3"/>
    </row>
    <row r="42" customFormat="false" ht="15" hidden="false" customHeight="false" outlineLevel="0" collapsed="false">
      <c r="A42" s="6" t="s">
        <v>153</v>
      </c>
      <c r="C42" s="18" t="n">
        <v>0.06</v>
      </c>
      <c r="G42" s="3"/>
    </row>
    <row r="43" customFormat="false" ht="15" hidden="false" customHeight="false" outlineLevel="0" collapsed="false">
      <c r="A43" s="6" t="s">
        <v>154</v>
      </c>
      <c r="C43" s="19" t="n">
        <f aca="false">C13</f>
        <v>0.06</v>
      </c>
      <c r="G43" s="3"/>
    </row>
    <row r="44" customFormat="false" ht="15" hidden="false" customHeight="false" outlineLevel="0" collapsed="false">
      <c r="A44" s="20" t="s">
        <v>155</v>
      </c>
      <c r="C44" s="39" t="str">
        <f aca="false">IF(ABS(C42-C43)&lt;0.0005,"yes","no")</f>
        <v>yes</v>
      </c>
      <c r="G44" s="3"/>
    </row>
    <row r="45" customFormat="false" ht="15" hidden="false" customHeight="false" outlineLevel="0" collapsed="false">
      <c r="G45" s="3"/>
    </row>
    <row r="46" customFormat="false" ht="15" hidden="false" customHeight="false" outlineLevel="0" collapsed="false">
      <c r="A46" s="5" t="s">
        <v>156</v>
      </c>
      <c r="G46" s="3"/>
    </row>
    <row r="47" customFormat="false" ht="15" hidden="false" customHeight="false" outlineLevel="0" collapsed="false">
      <c r="A47" s="6" t="s">
        <v>157</v>
      </c>
      <c r="C47" s="9" t="n">
        <v>0.06</v>
      </c>
      <c r="G47" s="3"/>
    </row>
    <row r="48" customFormat="false" ht="15" hidden="false" customHeight="false" outlineLevel="0" collapsed="false">
      <c r="A48" s="6" t="s">
        <v>158</v>
      </c>
      <c r="C48" s="8" t="n">
        <v>4.2</v>
      </c>
      <c r="G48" s="3"/>
    </row>
    <row r="49" customFormat="false" ht="15" hidden="false" customHeight="false" outlineLevel="0" collapsed="false">
      <c r="A49" s="6" t="s">
        <v>159</v>
      </c>
      <c r="C49" s="8" t="n">
        <v>3.5</v>
      </c>
      <c r="G49" s="3"/>
    </row>
    <row r="50" customFormat="false" ht="15" hidden="false" customHeight="false" outlineLevel="0" collapsed="false">
      <c r="A50" s="6" t="s">
        <v>160</v>
      </c>
      <c r="C50" s="18" t="n">
        <v>0.011</v>
      </c>
      <c r="G50" s="3"/>
    </row>
    <row r="51" customFormat="false" ht="15" hidden="false" customHeight="false" outlineLevel="0" collapsed="false">
      <c r="A51" s="6" t="s">
        <v>161</v>
      </c>
      <c r="C51" s="7" t="n">
        <v>40</v>
      </c>
      <c r="G51" s="3"/>
    </row>
    <row r="52" customFormat="false" ht="15" hidden="false" customHeight="false" outlineLevel="0" collapsed="false">
      <c r="A52" s="6" t="s">
        <v>162</v>
      </c>
      <c r="C52" s="7" t="n">
        <v>10</v>
      </c>
      <c r="G52" s="3"/>
    </row>
    <row r="53" customFormat="false" ht="15" hidden="false" customHeight="false" outlineLevel="0" collapsed="false">
      <c r="A53" s="6" t="s">
        <v>163</v>
      </c>
      <c r="C53" s="30" t="n">
        <v>12</v>
      </c>
    </row>
    <row r="54" customFormat="false" ht="15" hidden="false" customHeight="false" outlineLevel="0" collapsed="false">
      <c r="A54" s="6" t="s">
        <v>164</v>
      </c>
      <c r="C54" s="18" t="n">
        <v>0.0525</v>
      </c>
    </row>
    <row r="55" customFormat="false" ht="15" hidden="false" customHeight="false" outlineLevel="0" collapsed="false">
      <c r="A55" s="6" t="s">
        <v>165</v>
      </c>
      <c r="C55" s="18" t="n">
        <v>0.0075</v>
      </c>
    </row>
    <row r="56" customFormat="false" ht="15" hidden="false" customHeight="false" outlineLevel="0" collapsed="false">
      <c r="A56" s="6" t="s">
        <v>166</v>
      </c>
      <c r="C56" s="18" t="n">
        <v>0.0125</v>
      </c>
    </row>
    <row r="57" customFormat="false" ht="15" hidden="false" customHeight="false" outlineLevel="0" collapsed="false">
      <c r="A57" s="20" t="s">
        <v>167</v>
      </c>
      <c r="C57" s="32" t="n">
        <f aca="false">C48+C49</f>
        <v>7.7</v>
      </c>
    </row>
    <row r="58" customFormat="false" ht="15" hidden="false" customHeight="false" outlineLevel="0" collapsed="false">
      <c r="A58" s="6" t="s">
        <v>168</v>
      </c>
      <c r="C58" s="19" t="n">
        <f aca="false">C57/C5</f>
        <v>0.0385</v>
      </c>
    </row>
    <row r="59" customFormat="false" ht="15" hidden="false" customHeight="false" outlineLevel="0" collapsed="false">
      <c r="A59" s="6" t="s">
        <v>169</v>
      </c>
      <c r="C59" s="40" t="n">
        <f aca="false">C48/(C47*'Stressed case'!B6*('Stressed case'!B11/12)/(1-(1+'Stressed case'!B11/12)^-'The pool''s life'!C21))</f>
        <v>8.96692287638239</v>
      </c>
    </row>
    <row r="60" customFormat="false" ht="15" hidden="false" customHeight="false" outlineLevel="0" collapsed="false">
      <c r="A60" s="6" t="s">
        <v>170</v>
      </c>
      <c r="C60" s="12" t="n">
        <f aca="false">C56*C5</f>
        <v>2.5</v>
      </c>
    </row>
    <row r="61" customFormat="false" ht="15" hidden="false" customHeight="false" outlineLevel="0" collapsed="false">
      <c r="A61" s="6" t="s">
        <v>171</v>
      </c>
      <c r="C61" s="12" t="n">
        <f aca="false">C55*C5*(1-0.84)</f>
        <v>0.24</v>
      </c>
    </row>
    <row r="62" customFormat="false" ht="15" hidden="false" customHeight="false" outlineLevel="0" collapsed="false">
      <c r="A62" s="6" t="s">
        <v>172</v>
      </c>
      <c r="C62" s="12" t="n">
        <f aca="false">C50*176</f>
        <v>1.936</v>
      </c>
    </row>
  </sheetData>
  <mergeCells count="1">
    <mergeCell ref="G5:G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7" min="2" style="0" width="13"/>
    <col collapsed="false" customWidth="true" hidden="false" outlineLevel="0" max="8" min="8" style="0" width="15"/>
    <col collapsed="false" customWidth="true" hidden="false" outlineLevel="0" max="9" min="9" style="0" width="3"/>
    <col collapsed="false" customWidth="true" hidden="false" outlineLevel="0" max="10" min="10" style="0" width="58"/>
  </cols>
  <sheetData>
    <row r="1" customFormat="false" ht="17.35" hidden="false" customHeight="false" outlineLevel="0" collapsed="false">
      <c r="A1" s="1" t="s">
        <v>173</v>
      </c>
    </row>
    <row r="2" customFormat="false" ht="15" hidden="false" customHeight="false" outlineLevel="0" collapsed="false">
      <c r="A2" s="2" t="s">
        <v>174</v>
      </c>
    </row>
    <row r="4" customFormat="false" ht="15" hidden="false" customHeight="false" outlineLevel="0" collapsed="false">
      <c r="A4" s="5" t="s">
        <v>175</v>
      </c>
      <c r="J4" s="5" t="s">
        <v>176</v>
      </c>
    </row>
    <row r="5" customFormat="false" ht="15" hidden="false" customHeight="true" outlineLevel="0" collapsed="false">
      <c r="A5" s="6" t="s">
        <v>177</v>
      </c>
      <c r="B5" s="27" t="n">
        <f aca="false">Structure!C5</f>
        <v>200</v>
      </c>
      <c r="J5" s="3" t="s">
        <v>178</v>
      </c>
    </row>
    <row r="6" customFormat="false" ht="15" hidden="false" customHeight="false" outlineLevel="0" collapsed="false">
      <c r="A6" s="6" t="s">
        <v>179</v>
      </c>
      <c r="B6" s="22" t="n">
        <v>0.84</v>
      </c>
      <c r="J6" s="3"/>
    </row>
    <row r="7" customFormat="false" ht="15" hidden="false" customHeight="false" outlineLevel="0" collapsed="false">
      <c r="A7" s="6" t="s">
        <v>180</v>
      </c>
      <c r="B7" s="12" t="n">
        <f aca="false">B5*B6</f>
        <v>168</v>
      </c>
      <c r="J7" s="3"/>
    </row>
    <row r="8" customFormat="false" ht="15" hidden="false" customHeight="false" outlineLevel="0" collapsed="false">
      <c r="A8" s="6" t="s">
        <v>181</v>
      </c>
      <c r="B8" s="18" t="n">
        <v>0.026</v>
      </c>
      <c r="J8" s="3"/>
    </row>
    <row r="9" customFormat="false" ht="15" hidden="false" customHeight="false" outlineLevel="0" collapsed="false">
      <c r="A9" s="6" t="s">
        <v>182</v>
      </c>
      <c r="B9" s="18" t="n">
        <v>0.029</v>
      </c>
      <c r="J9" s="3"/>
    </row>
    <row r="10" customFormat="false" ht="15" hidden="false" customHeight="false" outlineLevel="0" collapsed="false">
      <c r="A10" s="6" t="s">
        <v>183</v>
      </c>
      <c r="B10" s="18" t="n">
        <v>0.061</v>
      </c>
      <c r="J10" s="3"/>
    </row>
    <row r="11" customFormat="false" ht="15" hidden="false" customHeight="false" outlineLevel="0" collapsed="false">
      <c r="A11" s="6" t="s">
        <v>184</v>
      </c>
      <c r="B11" s="37" t="n">
        <v>0.033</v>
      </c>
      <c r="J11" s="3"/>
    </row>
    <row r="12" customFormat="false" ht="15" hidden="false" customHeight="false" outlineLevel="0" collapsed="false">
      <c r="A12" s="6" t="s">
        <v>185</v>
      </c>
      <c r="B12" s="18" t="n">
        <v>0.09</v>
      </c>
      <c r="J12" s="3"/>
    </row>
    <row r="13" customFormat="false" ht="15" hidden="false" customHeight="false" outlineLevel="0" collapsed="false">
      <c r="A13" s="6" t="s">
        <v>186</v>
      </c>
      <c r="B13" s="41" t="n">
        <f aca="false">Structure!C25</f>
        <v>0.1</v>
      </c>
      <c r="J13" s="3"/>
    </row>
    <row r="14" customFormat="false" ht="15" hidden="false" customHeight="false" outlineLevel="0" collapsed="false">
      <c r="J14" s="3"/>
    </row>
    <row r="15" customFormat="false" ht="15" hidden="false" customHeight="false" outlineLevel="0" collapsed="false">
      <c r="A15" s="5" t="s">
        <v>187</v>
      </c>
      <c r="J15" s="3"/>
    </row>
    <row r="16" customFormat="false" ht="27.75" hidden="false" customHeight="true" outlineLevel="0" collapsed="false">
      <c r="A16" s="13" t="s">
        <v>188</v>
      </c>
      <c r="B16" s="14" t="s">
        <v>144</v>
      </c>
      <c r="C16" s="14" t="s">
        <v>189</v>
      </c>
      <c r="D16" s="14" t="s">
        <v>190</v>
      </c>
      <c r="E16" s="14" t="s">
        <v>191</v>
      </c>
      <c r="F16" s="14" t="s">
        <v>192</v>
      </c>
      <c r="J16" s="3"/>
    </row>
    <row r="17" customFormat="false" ht="15" hidden="false" customHeight="false" outlineLevel="0" collapsed="false">
      <c r="A17" s="6" t="s">
        <v>193</v>
      </c>
      <c r="B17" s="42" t="n">
        <f aca="false">Structure!C38</f>
        <v>0.032</v>
      </c>
      <c r="C17" s="19" t="n">
        <f aca="false">B9</f>
        <v>0.029</v>
      </c>
      <c r="D17" s="19" t="n">
        <f aca="false">B17-C17</f>
        <v>0.003</v>
      </c>
      <c r="E17" s="11" t="n">
        <f aca="false">D17/B17</f>
        <v>0.09375</v>
      </c>
      <c r="F17" s="36" t="str">
        <f aca="false">IF(C17&gt;=B17,"fires","inside")</f>
        <v>inside</v>
      </c>
      <c r="J17" s="3"/>
    </row>
    <row r="18" customFormat="false" ht="15" hidden="false" customHeight="false" outlineLevel="0" collapsed="false">
      <c r="A18" s="6" t="s">
        <v>194</v>
      </c>
      <c r="B18" s="18" t="n">
        <v>0.045</v>
      </c>
      <c r="C18" s="19" t="n">
        <f aca="false">B10</f>
        <v>0.061</v>
      </c>
      <c r="D18" s="19" t="n">
        <f aca="false">C18-B18</f>
        <v>0.016</v>
      </c>
      <c r="E18" s="11" t="n">
        <f aca="false">D18/B18</f>
        <v>0.355555555555556</v>
      </c>
      <c r="F18" s="36" t="str">
        <f aca="false">IF(C18&lt;=B18,"fires","inside")</f>
        <v>inside</v>
      </c>
      <c r="J18" s="3"/>
    </row>
    <row r="19" customFormat="false" ht="15" hidden="false" customHeight="false" outlineLevel="0" collapsed="false">
      <c r="A19" s="6" t="s">
        <v>195</v>
      </c>
      <c r="B19" s="42" t="n">
        <f aca="false">Structure!C38</f>
        <v>0.032</v>
      </c>
      <c r="C19" s="19" t="n">
        <f aca="false">B11</f>
        <v>0.033</v>
      </c>
      <c r="D19" s="19" t="n">
        <f aca="false">B19-C19</f>
        <v>-0.001</v>
      </c>
      <c r="E19" s="11" t="n">
        <f aca="false">D19/B19</f>
        <v>-0.03125</v>
      </c>
      <c r="F19" s="39" t="str">
        <f aca="false">IF(C19&gt;=B19,"fires","inside")</f>
        <v>fires</v>
      </c>
      <c r="J19" s="3"/>
    </row>
    <row r="20" customFormat="false" ht="15" hidden="false" customHeight="false" outlineLevel="0" collapsed="false">
      <c r="J20" s="3"/>
    </row>
    <row r="21" customFormat="false" ht="15" hidden="false" customHeight="false" outlineLevel="0" collapsed="false">
      <c r="A21" s="5" t="s">
        <v>196</v>
      </c>
      <c r="J21" s="3"/>
    </row>
    <row r="22" customFormat="false" ht="15" hidden="false" customHeight="false" outlineLevel="0" collapsed="false">
      <c r="A22" s="6" t="s">
        <v>197</v>
      </c>
      <c r="C22" s="43" t="n">
        <v>800000</v>
      </c>
      <c r="J22" s="3"/>
    </row>
    <row r="23" customFormat="false" ht="15" hidden="false" customHeight="false" outlineLevel="0" collapsed="false">
      <c r="A23" s="6" t="s">
        <v>198</v>
      </c>
      <c r="C23" s="10" t="n">
        <f aca="false">C22*4</f>
        <v>3200000</v>
      </c>
      <c r="J23" s="3"/>
    </row>
    <row r="24" customFormat="false" ht="15" hidden="false" customHeight="false" outlineLevel="0" collapsed="false">
      <c r="A24" s="6" t="s">
        <v>199</v>
      </c>
      <c r="C24" s="7" t="n">
        <v>8</v>
      </c>
      <c r="J24" s="3"/>
    </row>
    <row r="25" customFormat="false" ht="15" hidden="false" customHeight="false" outlineLevel="0" collapsed="false">
      <c r="A25" s="6" t="s">
        <v>200</v>
      </c>
      <c r="C25" s="26" t="n">
        <f aca="false">C24*1000000/C23</f>
        <v>2.5</v>
      </c>
      <c r="J25" s="3"/>
    </row>
    <row r="26" customFormat="false" ht="15" hidden="false" customHeight="false" outlineLevel="0" collapsed="false">
      <c r="A26" s="6" t="s">
        <v>201</v>
      </c>
      <c r="C26" s="11" t="n">
        <f aca="false">C24/Diligence!C42</f>
        <v>0.166666666666667</v>
      </c>
      <c r="J26" s="3"/>
    </row>
    <row r="27" customFormat="false" ht="15" hidden="false" customHeight="false" outlineLevel="0" collapsed="false">
      <c r="A27" s="6" t="s">
        <v>202</v>
      </c>
      <c r="C27" s="44" t="s">
        <v>203</v>
      </c>
      <c r="J27" s="3"/>
    </row>
    <row r="28" customFormat="false" ht="15" hidden="false" customHeight="false" outlineLevel="0" collapsed="false">
      <c r="J28" s="3"/>
    </row>
    <row r="29" customFormat="false" ht="15" hidden="false" customHeight="false" outlineLevel="0" collapsed="false">
      <c r="A29" s="5" t="s">
        <v>204</v>
      </c>
      <c r="J29" s="3"/>
    </row>
    <row r="30" customFormat="false" ht="27.75" hidden="false" customHeight="true" outlineLevel="0" collapsed="false">
      <c r="A30" s="13" t="s">
        <v>205</v>
      </c>
      <c r="B30" s="14" t="s">
        <v>206</v>
      </c>
      <c r="C30" s="14" t="s">
        <v>207</v>
      </c>
      <c r="D30" s="14" t="s">
        <v>141</v>
      </c>
      <c r="E30" s="14" t="s">
        <v>144</v>
      </c>
      <c r="F30" s="14" t="s">
        <v>147</v>
      </c>
      <c r="G30" s="14" t="s">
        <v>150</v>
      </c>
      <c r="H30" s="14" t="s">
        <v>208</v>
      </c>
      <c r="J30" s="3"/>
    </row>
    <row r="31" customFormat="false" ht="15" hidden="false" customHeight="false" outlineLevel="0" collapsed="false">
      <c r="A31" s="30" t="n">
        <v>3</v>
      </c>
      <c r="B31" s="12" t="n">
        <f aca="false">C31*$B$5</f>
        <v>56</v>
      </c>
      <c r="C31" s="9" t="n">
        <v>0.28</v>
      </c>
      <c r="D31" s="18" t="n">
        <v>0.026</v>
      </c>
      <c r="E31" s="19" t="n">
        <f aca="false">Structure!$C$38</f>
        <v>0.032</v>
      </c>
      <c r="F31" s="19" t="n">
        <f aca="false">Structure!$C$39</f>
        <v>0.04</v>
      </c>
      <c r="G31" s="19" t="n">
        <f aca="false">Structure!$C$40</f>
        <v>0.05</v>
      </c>
      <c r="H31" s="39" t="str">
        <f aca="false">IF(D31&gt;=G31,"level three",IF(D31&gt;=F31,"level two",IF(D31&gt;=E31,"level one","inside all triggers")))</f>
        <v>inside all triggers</v>
      </c>
      <c r="J31" s="3"/>
    </row>
    <row r="32" customFormat="false" ht="15" hidden="false" customHeight="false" outlineLevel="0" collapsed="false">
      <c r="A32" s="45" t="n">
        <v>6</v>
      </c>
      <c r="B32" s="46" t="n">
        <f aca="false">C32*$B$5</f>
        <v>112</v>
      </c>
      <c r="C32" s="47" t="n">
        <v>0.56</v>
      </c>
      <c r="D32" s="48" t="n">
        <v>0.027</v>
      </c>
      <c r="E32" s="49" t="n">
        <f aca="false">Structure!$C$38</f>
        <v>0.032</v>
      </c>
      <c r="F32" s="49" t="n">
        <f aca="false">Structure!$C$39</f>
        <v>0.04</v>
      </c>
      <c r="G32" s="49" t="n">
        <f aca="false">Structure!$C$40</f>
        <v>0.05</v>
      </c>
      <c r="H32" s="50" t="str">
        <f aca="false">IF(D32&gt;=G32,"level three",IF(D32&gt;=F32,"level two",IF(D32&gt;=E32,"level one","inside all triggers")))</f>
        <v>inside all triggers</v>
      </c>
      <c r="J32" s="3"/>
    </row>
    <row r="33" customFormat="false" ht="15" hidden="false" customHeight="false" outlineLevel="0" collapsed="false">
      <c r="A33" s="30" t="n">
        <v>9</v>
      </c>
      <c r="B33" s="12" t="n">
        <f aca="false">C33*$B$5</f>
        <v>168</v>
      </c>
      <c r="C33" s="9" t="n">
        <v>0.84</v>
      </c>
      <c r="D33" s="18" t="n">
        <v>0.028</v>
      </c>
      <c r="E33" s="19" t="n">
        <f aca="false">Structure!$C$38</f>
        <v>0.032</v>
      </c>
      <c r="F33" s="19" t="n">
        <f aca="false">Structure!$C$39</f>
        <v>0.04</v>
      </c>
      <c r="G33" s="19" t="n">
        <f aca="false">Structure!$C$40</f>
        <v>0.05</v>
      </c>
      <c r="H33" s="39" t="str">
        <f aca="false">IF(D33&gt;=G33,"level three",IF(D33&gt;=F33,"level two",IF(D33&gt;=E33,"level one","inside all triggers")))</f>
        <v>inside all triggers</v>
      </c>
      <c r="J33" s="3"/>
    </row>
    <row r="34" customFormat="false" ht="15" hidden="false" customHeight="false" outlineLevel="0" collapsed="false">
      <c r="A34" s="45" t="n">
        <v>12</v>
      </c>
      <c r="B34" s="46" t="n">
        <f aca="false">C34*$B$5</f>
        <v>176</v>
      </c>
      <c r="C34" s="47" t="n">
        <v>0.88</v>
      </c>
      <c r="D34" s="48" t="n">
        <v>0.029</v>
      </c>
      <c r="E34" s="49" t="n">
        <f aca="false">Structure!$C$38</f>
        <v>0.032</v>
      </c>
      <c r="F34" s="49" t="n">
        <f aca="false">Structure!$C$39</f>
        <v>0.04</v>
      </c>
      <c r="G34" s="49" t="n">
        <f aca="false">Structure!$C$40</f>
        <v>0.05</v>
      </c>
      <c r="H34" s="50" t="str">
        <f aca="false">IF(D34&gt;=G34,"level three",IF(D34&gt;=F34,"level two",IF(D34&gt;=E34,"level one","inside all triggers")))</f>
        <v>inside all triggers</v>
      </c>
      <c r="J34" s="3"/>
    </row>
    <row r="35" customFormat="false" ht="15" hidden="false" customHeight="false" outlineLevel="0" collapsed="false">
      <c r="A35" s="30" t="n">
        <v>14</v>
      </c>
      <c r="B35" s="12" t="n">
        <f aca="false">C35*$B$5</f>
        <v>180</v>
      </c>
      <c r="C35" s="9" t="n">
        <v>0.9</v>
      </c>
      <c r="D35" s="18" t="n">
        <v>0.031</v>
      </c>
      <c r="E35" s="19" t="n">
        <f aca="false">Structure!$C$38</f>
        <v>0.032</v>
      </c>
      <c r="F35" s="19" t="n">
        <f aca="false">Structure!$C$39</f>
        <v>0.04</v>
      </c>
      <c r="G35" s="19" t="n">
        <f aca="false">Structure!$C$40</f>
        <v>0.05</v>
      </c>
      <c r="H35" s="39" t="str">
        <f aca="false">IF(D35&gt;=G35,"level three",IF(D35&gt;=F35,"level two",IF(D35&gt;=E35,"level one","inside all triggers")))</f>
        <v>inside all triggers</v>
      </c>
      <c r="J35" s="3"/>
    </row>
    <row r="36" customFormat="false" ht="15" hidden="false" customHeight="false" outlineLevel="0" collapsed="false">
      <c r="A36" s="45" t="n">
        <v>16</v>
      </c>
      <c r="B36" s="46" t="n">
        <f aca="false">C36*$B$5</f>
        <v>184</v>
      </c>
      <c r="C36" s="47" t="n">
        <v>0.92</v>
      </c>
      <c r="D36" s="48" t="n">
        <v>0.033</v>
      </c>
      <c r="E36" s="49" t="n">
        <f aca="false">Structure!$C$38</f>
        <v>0.032</v>
      </c>
      <c r="F36" s="49" t="n">
        <f aca="false">Structure!$C$39</f>
        <v>0.04</v>
      </c>
      <c r="G36" s="49" t="n">
        <f aca="false">Structure!$C$40</f>
        <v>0.05</v>
      </c>
      <c r="H36" s="50" t="str">
        <f aca="false">IF(D36&gt;=G36,"level three",IF(D36&gt;=F36,"level two",IF(D36&gt;=E36,"level one","inside all triggers")))</f>
        <v>level one</v>
      </c>
      <c r="J36" s="3"/>
    </row>
    <row r="37" customFormat="false" ht="15" hidden="false" customHeight="false" outlineLevel="0" collapsed="false">
      <c r="J37" s="3"/>
    </row>
    <row r="38" customFormat="false" ht="15" hidden="false" customHeight="false" outlineLevel="0" collapsed="false">
      <c r="A38" s="20" t="s">
        <v>209</v>
      </c>
      <c r="C38" s="31" t="n">
        <f aca="false">IFERROR(INDEX(A31:A36,MATCH(TRUE(),INDEX(D31:D36&gt;=E31:E36,0),0)),"never")</f>
        <v>16</v>
      </c>
      <c r="J38" s="3"/>
    </row>
    <row r="39" customFormat="false" ht="15" hidden="false" customHeight="false" outlineLevel="0" collapsed="false">
      <c r="J39" s="3"/>
    </row>
    <row r="40" customFormat="false" ht="15" hidden="false" customHeight="false" outlineLevel="0" collapsed="false">
      <c r="J40" s="3"/>
    </row>
    <row r="41" customFormat="false" ht="15" hidden="false" customHeight="false" outlineLevel="0" collapsed="false">
      <c r="J41" s="3"/>
    </row>
    <row r="42" customFormat="false" ht="15" hidden="false" customHeight="false" outlineLevel="0" collapsed="false">
      <c r="J42" s="3"/>
    </row>
    <row r="43" customFormat="false" ht="15" hidden="false" customHeight="false" outlineLevel="0" collapsed="false">
      <c r="J43" s="3"/>
    </row>
    <row r="44" customFormat="false" ht="15" hidden="false" customHeight="false" outlineLevel="0" collapsed="false">
      <c r="J44" s="3"/>
    </row>
  </sheetData>
  <mergeCells count="1">
    <mergeCell ref="J5:J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0" topLeftCell="A31"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1"/>
    <col collapsed="false" customWidth="true" hidden="false" outlineLevel="0" max="11" min="3" style="0" width="14"/>
    <col collapsed="false" customWidth="true" hidden="false" outlineLevel="0" max="12" min="12" style="0" width="3"/>
    <col collapsed="false" customWidth="true" hidden="false" outlineLevel="0" max="13" min="13" style="0" width="60"/>
  </cols>
  <sheetData>
    <row r="1" customFormat="false" ht="17.35" hidden="false" customHeight="false" outlineLevel="0" collapsed="false">
      <c r="A1" s="1" t="s">
        <v>210</v>
      </c>
    </row>
    <row r="2" customFormat="false" ht="15" hidden="false" customHeight="false" outlineLevel="0" collapsed="false">
      <c r="A2" s="2" t="s">
        <v>211</v>
      </c>
    </row>
    <row r="4" customFormat="false" ht="15" hidden="false" customHeight="false" outlineLevel="0" collapsed="false">
      <c r="A4" s="5" t="s">
        <v>212</v>
      </c>
      <c r="M4" s="5" t="s">
        <v>213</v>
      </c>
    </row>
    <row r="5" customFormat="false" ht="15" hidden="false" customHeight="true" outlineLevel="0" collapsed="false">
      <c r="A5" s="6" t="s">
        <v>214</v>
      </c>
      <c r="B5" s="51" t="n">
        <v>168</v>
      </c>
      <c r="M5" s="3" t="s">
        <v>215</v>
      </c>
    </row>
    <row r="6" customFormat="false" ht="15" hidden="false" customHeight="false" outlineLevel="0" collapsed="false">
      <c r="A6" s="6" t="s">
        <v>216</v>
      </c>
      <c r="B6" s="12" t="n">
        <f aca="false">B5/B7</f>
        <v>197.647058823529</v>
      </c>
      <c r="M6" s="3"/>
    </row>
    <row r="7" customFormat="false" ht="15" hidden="false" customHeight="false" outlineLevel="0" collapsed="false">
      <c r="A7" s="6" t="s">
        <v>217</v>
      </c>
      <c r="B7" s="22" t="n">
        <v>0.85</v>
      </c>
      <c r="M7" s="3"/>
    </row>
    <row r="8" customFormat="false" ht="15" hidden="false" customHeight="false" outlineLevel="0" collapsed="false">
      <c r="A8" s="6" t="s">
        <v>218</v>
      </c>
      <c r="B8" s="11" t="n">
        <f aca="false">1-B7</f>
        <v>0.15</v>
      </c>
      <c r="M8" s="3"/>
    </row>
    <row r="9" customFormat="false" ht="15" hidden="false" customHeight="false" outlineLevel="0" collapsed="false">
      <c r="A9" s="6" t="s">
        <v>219</v>
      </c>
      <c r="B9" s="30" t="n">
        <v>31</v>
      </c>
      <c r="M9" s="3"/>
    </row>
    <row r="10" customFormat="false" ht="15" hidden="false" customHeight="false" outlineLevel="0" collapsed="false">
      <c r="A10" s="6" t="s">
        <v>220</v>
      </c>
      <c r="B10" s="29" t="n">
        <v>24</v>
      </c>
      <c r="M10" s="3"/>
    </row>
    <row r="11" customFormat="false" ht="15" hidden="false" customHeight="false" outlineLevel="0" collapsed="false">
      <c r="A11" s="6" t="s">
        <v>221</v>
      </c>
      <c r="B11" s="37" t="n">
        <v>0.158</v>
      </c>
      <c r="C11" s="52" t="s">
        <v>222</v>
      </c>
      <c r="M11" s="3"/>
    </row>
    <row r="12" customFormat="false" ht="15" hidden="false" customHeight="false" outlineLevel="0" collapsed="false">
      <c r="A12" s="6" t="s">
        <v>223</v>
      </c>
      <c r="B12" s="42" t="n">
        <f aca="false">Structure!C50</f>
        <v>0.011</v>
      </c>
      <c r="M12" s="3"/>
    </row>
    <row r="13" customFormat="false" ht="15" hidden="false" customHeight="false" outlineLevel="0" collapsed="false">
      <c r="A13" s="6" t="s">
        <v>224</v>
      </c>
      <c r="B13" s="37" t="n">
        <v>0.0875</v>
      </c>
      <c r="M13" s="3"/>
    </row>
    <row r="14" customFormat="false" ht="15" hidden="false" customHeight="false" outlineLevel="0" collapsed="false">
      <c r="A14" s="6" t="s">
        <v>225</v>
      </c>
      <c r="B14" s="37" t="n">
        <v>0.054</v>
      </c>
      <c r="M14" s="3"/>
    </row>
    <row r="15" customFormat="false" ht="15" hidden="false" customHeight="false" outlineLevel="0" collapsed="false">
      <c r="A15" s="6" t="s">
        <v>226</v>
      </c>
      <c r="B15" s="22" t="n">
        <v>0.15</v>
      </c>
      <c r="M15" s="3"/>
    </row>
    <row r="16" customFormat="false" ht="15" hidden="false" customHeight="false" outlineLevel="0" collapsed="false">
      <c r="A16" s="6" t="s">
        <v>227</v>
      </c>
      <c r="B16" s="30" t="n">
        <v>2</v>
      </c>
      <c r="M16" s="3"/>
    </row>
    <row r="17" customFormat="false" ht="15" hidden="false" customHeight="false" outlineLevel="0" collapsed="false">
      <c r="A17" s="6" t="s">
        <v>228</v>
      </c>
      <c r="B17" s="30" t="n">
        <v>6</v>
      </c>
      <c r="M17" s="3"/>
    </row>
    <row r="18" customFormat="false" ht="15" hidden="false" customHeight="false" outlineLevel="0" collapsed="false">
      <c r="A18" s="6" t="s">
        <v>229</v>
      </c>
      <c r="B18" s="53" t="n">
        <f aca="false">B11/12</f>
        <v>0.0131666666666667</v>
      </c>
      <c r="M18" s="3"/>
    </row>
    <row r="19" customFormat="false" ht="15" hidden="false" customHeight="false" outlineLevel="0" collapsed="false">
      <c r="M19" s="3"/>
    </row>
    <row r="20" customFormat="false" ht="15" hidden="false" customHeight="false" outlineLevel="0" collapsed="false">
      <c r="A20" s="5" t="s">
        <v>230</v>
      </c>
      <c r="M20" s="3"/>
    </row>
    <row r="21" customFormat="false" ht="15" hidden="false" customHeight="false" outlineLevel="0" collapsed="false">
      <c r="A21" s="20" t="s">
        <v>231</v>
      </c>
      <c r="B21" s="32" t="n">
        <f aca="false">1+SUM(C31:C79)</f>
        <v>13.125756495741</v>
      </c>
      <c r="M21" s="3"/>
    </row>
    <row r="22" customFormat="false" ht="15" hidden="false" customHeight="false" outlineLevel="0" collapsed="false">
      <c r="A22" s="20" t="s">
        <v>232</v>
      </c>
      <c r="B22" s="25" t="n">
        <f aca="false">INDEX($J$31:$J$79,9)</f>
        <v>0.579273551286544</v>
      </c>
      <c r="M22" s="3"/>
    </row>
    <row r="23" customFormat="false" ht="15" hidden="false" customHeight="false" outlineLevel="0" collapsed="false">
      <c r="A23" s="20" t="s">
        <v>233</v>
      </c>
      <c r="B23" s="25" t="n">
        <f aca="false">INDEX($J$31:$J$79,20)</f>
        <v>0.00817491946871114</v>
      </c>
      <c r="M23" s="3"/>
    </row>
    <row r="24" customFormat="false" ht="15" hidden="false" customHeight="false" outlineLevel="0" collapsed="false">
      <c r="A24" s="6" t="s">
        <v>234</v>
      </c>
      <c r="B24" s="28" t="n">
        <f aca="false">IFERROR(MATCH(TRUE(),INDEX($J$31:$J$79&lt;=0.5,0),0),"beyond the grid")</f>
        <v>11</v>
      </c>
      <c r="M24" s="3"/>
    </row>
    <row r="25" customFormat="false" ht="15" hidden="false" customHeight="false" outlineLevel="0" collapsed="false">
      <c r="A25" s="6" t="s">
        <v>235</v>
      </c>
      <c r="B25" s="28" t="n">
        <f aca="false">IFERROR(MATCH(TRUE(),INDEX($J$31:$J$79&lt;=0.1,0),0),"beyond the grid")</f>
        <v>19</v>
      </c>
      <c r="M25" s="3"/>
    </row>
    <row r="26" customFormat="false" ht="15" hidden="false" customHeight="false" outlineLevel="0" collapsed="false">
      <c r="A26" s="6" t="s">
        <v>236</v>
      </c>
      <c r="B26" s="28" t="n">
        <f aca="false">IFERROR(MATCH(TRUE(),INDEX($J$31:$J$79&lt;=0,0),0),"beyond the grid")</f>
        <v>21</v>
      </c>
      <c r="M26" s="3"/>
    </row>
    <row r="27" customFormat="false" ht="15" hidden="false" customHeight="false" outlineLevel="0" collapsed="false">
      <c r="A27" s="20" t="s">
        <v>237</v>
      </c>
      <c r="B27" s="39" t="str">
        <f aca="false">IF(B14&lt;=Structure!C18,"senior repaid in full","senior takes a loss")</f>
        <v>senior repaid in full</v>
      </c>
      <c r="M27" s="3"/>
    </row>
    <row r="28" customFormat="false" ht="15" hidden="false" customHeight="false" outlineLevel="0" collapsed="false">
      <c r="A28" s="6" t="s">
        <v>238</v>
      </c>
      <c r="B28" s="19" t="n">
        <f aca="false">Structure!C18-B14</f>
        <v>0.066</v>
      </c>
      <c r="M28" s="3"/>
    </row>
    <row r="29" customFormat="false" ht="15" hidden="false" customHeight="false" outlineLevel="0" collapsed="false">
      <c r="A29" s="20" t="s">
        <v>239</v>
      </c>
      <c r="B29" s="19" t="n">
        <f aca="false">(B6*(B11-B12)-B5*B13)/B6</f>
        <v>0.072625</v>
      </c>
      <c r="M29" s="3"/>
    </row>
    <row r="30" customFormat="false" ht="27.75" hidden="false" customHeight="true" outlineLevel="0" collapsed="false">
      <c r="A30" s="13" t="s">
        <v>205</v>
      </c>
      <c r="B30" s="14"/>
      <c r="C30" s="14" t="s">
        <v>240</v>
      </c>
      <c r="D30" s="14" t="s">
        <v>241</v>
      </c>
      <c r="E30" s="14" t="s">
        <v>242</v>
      </c>
      <c r="F30" s="14" t="s">
        <v>243</v>
      </c>
      <c r="G30" s="14" t="s">
        <v>244</v>
      </c>
      <c r="H30" s="14" t="s">
        <v>245</v>
      </c>
      <c r="I30" s="14" t="s">
        <v>246</v>
      </c>
      <c r="J30" s="14" t="s">
        <v>247</v>
      </c>
      <c r="M30" s="3"/>
    </row>
    <row r="31" customFormat="false" ht="15" hidden="false" customHeight="false" outlineLevel="0" collapsed="false">
      <c r="A31" s="30" t="n">
        <v>1</v>
      </c>
      <c r="C31" s="54" t="n">
        <f aca="false">IF(A31&gt;=$B$10,0,(1-(1+$B$18)^-($B$10-A31))/(1-(1+$B$18)^-$B$10))</f>
        <v>0.964299064144698</v>
      </c>
      <c r="D31" s="12" t="n">
        <f aca="false">$B$6*C31</f>
        <v>190.590873854481</v>
      </c>
      <c r="E31" s="12" t="n">
        <f aca="false">$B$6*(1-C31)*IF(AND(A31&gt;=$B$17,A31&lt;$B$17+$B$16),1-$B$15,1)</f>
        <v>7.05618496904799</v>
      </c>
      <c r="F31" s="12" t="n">
        <f aca="false">$B$14*$B$6*(1-C31)</f>
        <v>0.381033988328591</v>
      </c>
      <c r="G31" s="12" t="n">
        <f aca="false">E31-F31</f>
        <v>6.6751509807194</v>
      </c>
      <c r="H31" s="12" t="n">
        <f aca="false">MAX(0,$B$6*1*($B$11-$B$12)/12-$B$5*$B$13/12)</f>
        <v>1.19617647058824</v>
      </c>
      <c r="I31" s="12" t="n">
        <f aca="false">MAX(0,$B$5-G31-H31)</f>
        <v>160.128672548692</v>
      </c>
      <c r="J31" s="11" t="n">
        <f aca="false">I31/$B$5</f>
        <v>0.953146860408883</v>
      </c>
      <c r="M31" s="3"/>
    </row>
    <row r="32" customFormat="false" ht="15" hidden="false" customHeight="false" outlineLevel="0" collapsed="false">
      <c r="A32" s="45" t="n">
        <v>2</v>
      </c>
      <c r="C32" s="55" t="n">
        <f aca="false">IF(A32&gt;=$B$10,0,(1-(1+$B$18)^-($B$10-A32))/(1-(1+$B$18)^-$B$10))</f>
        <v>0.928128065967301</v>
      </c>
      <c r="D32" s="46" t="n">
        <f aca="false">$B$6*C32</f>
        <v>183.441782450008</v>
      </c>
      <c r="E32" s="46" t="n">
        <f aca="false">$B$6*(IF(A32=1,1,C31)-C32)*IF(AND(A32&gt;=$B$17,A32&lt;$B$17+$B$16),1-$B$15,1)</f>
        <v>7.14909140447374</v>
      </c>
      <c r="F32" s="46" t="n">
        <f aca="false">$B$14*$B$6*(IF(A32=1,1,C31)-C32)</f>
        <v>0.386050935841582</v>
      </c>
      <c r="G32" s="46" t="n">
        <f aca="false">E32-F32</f>
        <v>6.76304046863216</v>
      </c>
      <c r="H32" s="46" t="n">
        <f aca="false">MAX(0,$B$6*IF(A32=1,1,C31)*($B$11-$B$12)/12-I31*$B$13/12)</f>
        <v>1.16713330071652</v>
      </c>
      <c r="I32" s="46" t="n">
        <f aca="false">MAX(0,I31-G32-H32)</f>
        <v>152.198498779344</v>
      </c>
      <c r="J32" s="56" t="n">
        <f aca="false">I32/$B$5</f>
        <v>0.905943445115141</v>
      </c>
      <c r="M32" s="3"/>
    </row>
    <row r="33" customFormat="false" ht="15" hidden="false" customHeight="false" outlineLevel="0" collapsed="false">
      <c r="A33" s="30" t="n">
        <v>3</v>
      </c>
      <c r="C33" s="54" t="n">
        <f aca="false">IF(A33&gt;=$B$10,0,(1-(1+$B$18)^-($B$10-A33))/(1-(1+$B$18)^-$B$10))</f>
        <v>0.891480816313901</v>
      </c>
      <c r="D33" s="12" t="n">
        <f aca="false">$B$6*C33</f>
        <v>176.198561342042</v>
      </c>
      <c r="E33" s="12" t="n">
        <f aca="false">$B$6*(IF(A33=1,1,C32)-C33)*IF(AND(A33&gt;=$B$17,A33&lt;$B$17+$B$16),1-$B$15,1)</f>
        <v>7.24322110796608</v>
      </c>
      <c r="F33" s="12" t="n">
        <f aca="false">$B$14*$B$6*(IF(A33=1,1,C32)-C33)</f>
        <v>0.391133939830169</v>
      </c>
      <c r="G33" s="12" t="n">
        <f aca="false">E33-F33</f>
        <v>6.85208716813592</v>
      </c>
      <c r="H33" s="12" t="n">
        <f aca="false">MAX(0,$B$6*IF(A33=1,1,C32)*($B$11-$B$12)/12-I32*$B$13/12)</f>
        <v>1.13738111474655</v>
      </c>
      <c r="I33" s="12" t="n">
        <f aca="false">MAX(0,I32-G33-H33)</f>
        <v>144.209030496461</v>
      </c>
      <c r="J33" s="11" t="n">
        <f aca="false">I33/$B$5</f>
        <v>0.85838708628846</v>
      </c>
      <c r="M33" s="3"/>
    </row>
    <row r="34" customFormat="false" ht="15" hidden="false" customHeight="false" outlineLevel="0" collapsed="false">
      <c r="A34" s="45" t="n">
        <v>4</v>
      </c>
      <c r="C34" s="55" t="n">
        <f aca="false">IF(A34&gt;=$B$10,0,(1-(1+$B$18)^-($B$10-A34))/(1-(1+$B$18)^-$B$10))</f>
        <v>0.854351044540065</v>
      </c>
      <c r="D34" s="46" t="n">
        <f aca="false">$B$6*C34</f>
        <v>168.859971156154</v>
      </c>
      <c r="E34" s="46" t="n">
        <f aca="false">$B$6*(IF(A34=1,1,C33)-C34)*IF(AND(A34&gt;=$B$17,A34&lt;$B$17+$B$16),1-$B$15,1)</f>
        <v>7.33859018588755</v>
      </c>
      <c r="F34" s="46" t="n">
        <f aca="false">$B$14*$B$6*(IF(A34=1,1,C33)-C34)</f>
        <v>0.396283870037928</v>
      </c>
      <c r="G34" s="46" t="n">
        <f aca="false">E34-F34</f>
        <v>6.94230631584962</v>
      </c>
      <c r="H34" s="46" t="n">
        <f aca="false">MAX(0,$B$6*IF(A34=1,1,C33)*($B$11-$B$12)/12-I33*$B$13/12)</f>
        <v>1.10690819573665</v>
      </c>
      <c r="I34" s="46" t="n">
        <f aca="false">MAX(0,I33-G34-H34)</f>
        <v>136.159815984875</v>
      </c>
      <c r="J34" s="56" t="n">
        <f aca="false">I34/$B$5</f>
        <v>0.810475095148065</v>
      </c>
      <c r="M34" s="3"/>
    </row>
    <row r="35" customFormat="false" ht="15" hidden="false" customHeight="false" outlineLevel="0" collapsed="false">
      <c r="A35" s="30" t="n">
        <v>5</v>
      </c>
      <c r="C35" s="54" t="n">
        <f aca="false">IF(A35&gt;=$B$10,0,(1-(1+$B$18)^-($B$10-A35))/(1-(1+$B$18)^-$B$10))</f>
        <v>0.816732397437874</v>
      </c>
      <c r="D35" s="12" t="n">
        <f aca="false">$B$6*C35</f>
        <v>161.424756199486</v>
      </c>
      <c r="E35" s="12" t="n">
        <f aca="false">$B$6*(IF(A35=1,1,C34)-C35)*IF(AND(A35&gt;=$B$17,A35&lt;$B$17+$B$16),1-$B$15,1)</f>
        <v>7.4352149566684</v>
      </c>
      <c r="F35" s="12" t="n">
        <f aca="false">$B$14*$B$6*(IF(A35=1,1,C34)-C35)</f>
        <v>0.401501607660094</v>
      </c>
      <c r="G35" s="12" t="n">
        <f aca="false">E35-F35</f>
        <v>7.03371334900831</v>
      </c>
      <c r="H35" s="12" t="n">
        <f aca="false">MAX(0,$B$6*IF(A35=1,1,C34)*($B$11-$B$12)/12-I34*$B$13/12)</f>
        <v>1.07570265510651</v>
      </c>
      <c r="I35" s="12" t="n">
        <f aca="false">MAX(0,I34-G35-H35)</f>
        <v>128.05039998076</v>
      </c>
      <c r="J35" s="11" t="n">
        <f aca="false">I35/$B$5</f>
        <v>0.762204761790239</v>
      </c>
      <c r="M35" s="3"/>
    </row>
    <row r="36" customFormat="false" ht="15" hidden="false" customHeight="false" outlineLevel="0" collapsed="false">
      <c r="A36" s="45" t="n">
        <v>6</v>
      </c>
      <c r="C36" s="55" t="n">
        <f aca="false">IF(A36&gt;=$B$10,0,(1-(1+$B$18)^-($B$10-A36))/(1-(1+$B$18)^-$B$10))</f>
        <v>0.778618438148837</v>
      </c>
      <c r="D36" s="46" t="n">
        <f aca="false">$B$6*C36</f>
        <v>153.891644245888</v>
      </c>
      <c r="E36" s="46" t="n">
        <f aca="false">$B$6*(IF(A36=1,1,C35)-C36)*IF(AND(A36&gt;=$B$17,A36&lt;$B$17+$B$16),1-$B$15,1)</f>
        <v>6.40314516055822</v>
      </c>
      <c r="F36" s="46" t="n">
        <f aca="false">$B$14*$B$6*(IF(A36=1,1,C35)-C36)</f>
        <v>0.406788045494287</v>
      </c>
      <c r="G36" s="46" t="n">
        <f aca="false">E36-F36</f>
        <v>5.99635711506394</v>
      </c>
      <c r="H36" s="46" t="n">
        <f aca="false">MAX(0,$B$6*IF(A36=1,1,C35)*($B$11-$B$12)/12-I35*$B$13/12)</f>
        <v>1.04375243025066</v>
      </c>
      <c r="I36" s="46" t="n">
        <f aca="false">MAX(0,I35-G36-H36)</f>
        <v>121.010290435446</v>
      </c>
      <c r="J36" s="56" t="n">
        <f aca="false">I36/$B$5</f>
        <v>0.720299347830033</v>
      </c>
      <c r="M36" s="3"/>
    </row>
    <row r="37" customFormat="false" ht="15" hidden="false" customHeight="false" outlineLevel="0" collapsed="false">
      <c r="A37" s="30" t="n">
        <v>7</v>
      </c>
      <c r="C37" s="54" t="n">
        <f aca="false">IF(A37&gt;=$B$10,0,(1-(1+$B$18)^-($B$10-A37))/(1-(1+$B$18)^-$B$10))</f>
        <v>0.740002645062494</v>
      </c>
      <c r="D37" s="12" t="n">
        <f aca="false">$B$6*C37</f>
        <v>146.259346318234</v>
      </c>
      <c r="E37" s="12" t="n">
        <f aca="false">$B$6*(IF(A37=1,1,C36)-C37)*IF(AND(A37&gt;=$B$17,A37&lt;$B$17+$B$16),1-$B$15,1)</f>
        <v>6.48745323850561</v>
      </c>
      <c r="F37" s="12" t="n">
        <f aca="false">$B$14*$B$6*(IF(A37=1,1,C36)-C37)</f>
        <v>0.412144088093297</v>
      </c>
      <c r="G37" s="12" t="n">
        <f aca="false">E37-F37</f>
        <v>6.07530915041231</v>
      </c>
      <c r="H37" s="12" t="n">
        <f aca="false">MAX(0,$B$6*IF(A37=1,1,C36)*($B$11-$B$12)/12-I36*$B$13/12)</f>
        <v>1.00280594092034</v>
      </c>
      <c r="I37" s="12" t="n">
        <f aca="false">MAX(0,I36-G37-H37)</f>
        <v>113.932175344113</v>
      </c>
      <c r="J37" s="11" t="n">
        <f aca="false">I37/$B$5</f>
        <v>0.678167710381624</v>
      </c>
      <c r="M37" s="3"/>
    </row>
    <row r="38" customFormat="false" ht="15" hidden="false" customHeight="false" outlineLevel="0" collapsed="false">
      <c r="A38" s="45" t="n">
        <v>8</v>
      </c>
      <c r="C38" s="55" t="n">
        <f aca="false">IF(A38&gt;=$B$10,0,(1-(1+$B$18)^-($B$10-A38))/(1-(1+$B$18)^-$B$10))</f>
        <v>0.700878410700515</v>
      </c>
      <c r="D38" s="46" t="n">
        <f aca="false">$B$6*C38</f>
        <v>138.526556467866</v>
      </c>
      <c r="E38" s="46" t="n">
        <f aca="false">$B$6*(IF(A38=1,1,C37)-C38)*IF(AND(A38&gt;=$B$17,A38&lt;$B$17+$B$16),1-$B$15,1)</f>
        <v>7.73278985036768</v>
      </c>
      <c r="F38" s="46" t="n">
        <f aca="false">$B$14*$B$6*(IF(A38=1,1,C37)-C38)</f>
        <v>0.417570651919855</v>
      </c>
      <c r="G38" s="46" t="n">
        <f aca="false">E38-F38</f>
        <v>7.31521919844782</v>
      </c>
      <c r="H38" s="46" t="n">
        <f aca="false">MAX(0,$B$6*IF(A38=1,1,C37)*($B$11-$B$12)/12-I37*$B$13/12)</f>
        <v>0.960921547180878</v>
      </c>
      <c r="I38" s="46" t="n">
        <f aca="false">MAX(0,I37-G38-H38)</f>
        <v>105.656034598484</v>
      </c>
      <c r="J38" s="56" t="n">
        <f aca="false">I38/$B$5</f>
        <v>0.62890496784812</v>
      </c>
      <c r="M38" s="3"/>
    </row>
    <row r="39" customFormat="false" ht="15" hidden="false" customHeight="false" outlineLevel="0" collapsed="false">
      <c r="A39" s="30" t="n">
        <v>9</v>
      </c>
      <c r="C39" s="54" t="n">
        <f aca="false">IF(A39&gt;=$B$10,0,(1-(1+$B$18)^-($B$10-A39))/(1-(1+$B$18)^-$B$10))</f>
        <v>0.661239040586102</v>
      </c>
      <c r="D39" s="12" t="n">
        <f aca="false">$B$6*C39</f>
        <v>130.691951551136</v>
      </c>
      <c r="E39" s="12" t="n">
        <f aca="false">$B$6*(IF(A39=1,1,C38)-C39)*IF(AND(A39&gt;=$B$17,A39&lt;$B$17+$B$16),1-$B$15,1)</f>
        <v>7.83460491673091</v>
      </c>
      <c r="F39" s="12" t="n">
        <f aca="false">$B$14*$B$6*(IF(A39=1,1,C38)-C39)</f>
        <v>0.423068665503469</v>
      </c>
      <c r="G39" s="12" t="n">
        <f aca="false">E39-F39</f>
        <v>7.41153625122744</v>
      </c>
      <c r="H39" s="12" t="n">
        <f aca="false">MAX(0,$B$6*IF(A39=1,1,C38)*($B$11-$B$12)/12-I38*$B$13/12)</f>
        <v>0.926541731117416</v>
      </c>
      <c r="I39" s="12" t="n">
        <f aca="false">MAX(0,I38-G39-H39)</f>
        <v>97.3179566161394</v>
      </c>
      <c r="J39" s="11" t="n">
        <f aca="false">I39/$B$5</f>
        <v>0.579273551286544</v>
      </c>
      <c r="M39" s="3"/>
    </row>
    <row r="40" customFormat="false" ht="15" hidden="false" customHeight="false" outlineLevel="0" collapsed="false">
      <c r="A40" s="45" t="n">
        <v>10</v>
      </c>
      <c r="C40" s="55" t="n">
        <f aca="false">IF(A40&gt;=$B$10,0,(1-(1+$B$18)^-($B$10-A40))/(1-(1+$B$18)^-$B$10))</f>
        <v>0.621077752098517</v>
      </c>
      <c r="D40" s="46" t="n">
        <f aca="false">$B$6*C40</f>
        <v>122.754191003001</v>
      </c>
      <c r="E40" s="46" t="n">
        <f aca="false">$B$6*(IF(A40=1,1,C39)-C40)*IF(AND(A40&gt;=$B$17,A40&lt;$B$17+$B$16),1-$B$15,1)</f>
        <v>7.9377605481345</v>
      </c>
      <c r="F40" s="46" t="n">
        <f aca="false">$B$14*$B$6*(IF(A40=1,1,C39)-C40)</f>
        <v>0.428639069599263</v>
      </c>
      <c r="G40" s="46" t="n">
        <f aca="false">E40-F40</f>
        <v>7.50912147853524</v>
      </c>
      <c r="H40" s="46" t="n">
        <f aca="false">MAX(0,$B$6*IF(A40=1,1,C39)*($B$11-$B$12)/12-I39*$B$13/12)</f>
        <v>0.891366306175394</v>
      </c>
      <c r="I40" s="46" t="n">
        <f aca="false">MAX(0,I39-G40-H40)</f>
        <v>88.9174688314287</v>
      </c>
      <c r="J40" s="56" t="n">
        <f aca="false">I40/$B$5</f>
        <v>0.529270647806123</v>
      </c>
      <c r="M40" s="3"/>
    </row>
    <row r="41" customFormat="false" ht="15" hidden="false" customHeight="false" outlineLevel="0" collapsed="false">
      <c r="A41" s="30" t="n">
        <v>11</v>
      </c>
      <c r="C41" s="54" t="n">
        <f aca="false">IF(A41&gt;=$B$10,0,(1-(1+$B$18)^-($B$10-A41))/(1-(1+$B$18)^-$B$10))</f>
        <v>0.580387673312512</v>
      </c>
      <c r="D41" s="12" t="n">
        <f aca="false">$B$6*C41</f>
        <v>114.711916607649</v>
      </c>
      <c r="E41" s="12" t="n">
        <f aca="false">$B$6*(IF(A41=1,1,C40)-C41)*IF(AND(A41&gt;=$B$17,A41&lt;$B$17+$B$16),1-$B$15,1)</f>
        <v>8.04227439535163</v>
      </c>
      <c r="F41" s="12" t="n">
        <f aca="false">$B$14*$B$6*(IF(A41=1,1,C40)-C41)</f>
        <v>0.434282817348988</v>
      </c>
      <c r="G41" s="12" t="n">
        <f aca="false">E41-F41</f>
        <v>7.60799157800264</v>
      </c>
      <c r="H41" s="12" t="n">
        <f aca="false">MAX(0,$B$6*IF(A41=1,1,C40)*($B$11-$B$12)/12-I40*$B$13/12)</f>
        <v>0.855382296224261</v>
      </c>
      <c r="I41" s="12" t="n">
        <f aca="false">MAX(0,I40-G41-H41)</f>
        <v>80.4540949572018</v>
      </c>
      <c r="J41" s="11" t="n">
        <f aca="false">I41/$B$5</f>
        <v>0.478893422364297</v>
      </c>
      <c r="M41" s="3"/>
    </row>
    <row r="42" customFormat="false" ht="15" hidden="false" customHeight="false" outlineLevel="0" collapsed="false">
      <c r="A42" s="45" t="n">
        <v>12</v>
      </c>
      <c r="C42" s="55" t="n">
        <f aca="false">IF(A42&gt;=$B$10,0,(1-(1+$B$18)^-($B$10-A42))/(1-(1+$B$18)^-$B$10))</f>
        <v>0.539161841822491</v>
      </c>
      <c r="D42" s="46" t="n">
        <f aca="false">$B$6*C42</f>
        <v>106.563752266092</v>
      </c>
      <c r="E42" s="46" t="n">
        <f aca="false">$B$6*(IF(A42=1,1,C41)-C42)*IF(AND(A42&gt;=$B$17,A42&lt;$B$17+$B$16),1-$B$15,1)</f>
        <v>8.14816434155712</v>
      </c>
      <c r="F42" s="46" t="n">
        <f aca="false">$B$14*$B$6*(IF(A42=1,1,C41)-C42)</f>
        <v>0.440000874444084</v>
      </c>
      <c r="G42" s="46" t="n">
        <f aca="false">E42-F42</f>
        <v>7.70816346711303</v>
      </c>
      <c r="H42" s="46" t="n">
        <f aca="false">MAX(0,$B$6*IF(A42=1,1,C41)*($B$11-$B$12)/12-I41*$B$13/12)</f>
        <v>0.818576536047442</v>
      </c>
      <c r="I42" s="46" t="n">
        <f aca="false">MAX(0,I41-G42-H42)</f>
        <v>71.9273549540414</v>
      </c>
      <c r="J42" s="56" t="n">
        <f aca="false">I42/$B$5</f>
        <v>0.42813901758358</v>
      </c>
      <c r="M42" s="3"/>
    </row>
    <row r="43" customFormat="false" ht="15" hidden="false" customHeight="false" outlineLevel="0" collapsed="false">
      <c r="A43" s="30" t="n">
        <v>13</v>
      </c>
      <c r="C43" s="54" t="n">
        <f aca="false">IF(A43&gt;=$B$10,0,(1-(1+$B$18)^-($B$10-A43))/(1-(1+$B$18)^-$B$10))</f>
        <v>0.497393203551184</v>
      </c>
      <c r="D43" s="12" t="n">
        <f aca="false">$B$6*C43</f>
        <v>98.3083037607047</v>
      </c>
      <c r="E43" s="12" t="n">
        <f aca="false">$B$6*(IF(A43=1,1,C42)-C43)*IF(AND(A43&gt;=$B$17,A43&lt;$B$17+$B$16),1-$B$15,1)</f>
        <v>8.25544850538759</v>
      </c>
      <c r="F43" s="12" t="n">
        <f aca="false">$B$14*$B$6*(IF(A43=1,1,C42)-C43)</f>
        <v>0.44579421929093</v>
      </c>
      <c r="G43" s="12" t="n">
        <f aca="false">E43-F43</f>
        <v>7.80965428609667</v>
      </c>
      <c r="H43" s="12" t="n">
        <f aca="false">MAX(0,$B$6*IF(A43=1,1,C42)*($B$11-$B$12)/12-I42*$B$13/12)</f>
        <v>0.780935668719745</v>
      </c>
      <c r="I43" s="12" t="n">
        <f aca="false">MAX(0,I42-G43-H43)</f>
        <v>63.336764999225</v>
      </c>
      <c r="J43" s="11" t="n">
        <f aca="false">I43/$B$5</f>
        <v>0.377004553566815</v>
      </c>
      <c r="M43" s="3"/>
    </row>
    <row r="44" customFormat="false" ht="15" hidden="false" customHeight="false" outlineLevel="0" collapsed="false">
      <c r="A44" s="45" t="n">
        <v>14</v>
      </c>
      <c r="C44" s="55" t="n">
        <f aca="false">IF(A44&gt;=$B$10,0,(1-(1+$B$18)^-($B$10-A44))/(1-(1+$B$18)^-$B$10))</f>
        <v>0.45507461154264</v>
      </c>
      <c r="D44" s="46" t="n">
        <f aca="false">$B$6*C44</f>
        <v>89.9441585166629</v>
      </c>
      <c r="E44" s="46" t="n">
        <f aca="false">$B$6*(IF(A44=1,1,C43)-C44)*IF(AND(A44&gt;=$B$17,A44&lt;$B$17+$B$16),1-$B$15,1)</f>
        <v>8.3641452440418</v>
      </c>
      <c r="F44" s="46" t="n">
        <f aca="false">$B$14*$B$6*(IF(A44=1,1,C43)-C44)</f>
        <v>0.451663843178257</v>
      </c>
      <c r="G44" s="46" t="n">
        <f aca="false">E44-F44</f>
        <v>7.91248140086354</v>
      </c>
      <c r="H44" s="46" t="n">
        <f aca="false">MAX(0,$B$6*IF(A44=1,1,C43)*($B$11-$B$12)/12-I43*$B$13/12)</f>
        <v>0.742446142949284</v>
      </c>
      <c r="I44" s="46" t="n">
        <f aca="false">MAX(0,I43-G44-H44)</f>
        <v>54.6818374554121</v>
      </c>
      <c r="J44" s="56" t="n">
        <f aca="false">I44/$B$5</f>
        <v>0.325487127710786</v>
      </c>
      <c r="M44" s="3"/>
    </row>
    <row r="45" customFormat="false" ht="15" hidden="false" customHeight="false" outlineLevel="0" collapsed="false">
      <c r="A45" s="30" t="n">
        <v>15</v>
      </c>
      <c r="C45" s="54" t="n">
        <f aca="false">IF(A45&gt;=$B$10,0,(1-(1+$B$18)^-($B$10-A45))/(1-(1+$B$18)^-$B$10))</f>
        <v>0.412198824739315</v>
      </c>
      <c r="D45" s="12" t="n">
        <f aca="false">$B$6*C45</f>
        <v>81.4698853602411</v>
      </c>
      <c r="E45" s="12" t="n">
        <f aca="false">$B$6*(IF(A45=1,1,C44)-C45)*IF(AND(A45&gt;=$B$17,A45&lt;$B$17+$B$16),1-$B$15,1)</f>
        <v>8.47427315642175</v>
      </c>
      <c r="F45" s="12" t="n">
        <f aca="false">$B$14*$B$6*(IF(A45=1,1,C44)-C45)</f>
        <v>0.457610750446774</v>
      </c>
      <c r="G45" s="12" t="n">
        <f aca="false">E45-F45</f>
        <v>8.01666240597498</v>
      </c>
      <c r="H45" s="12" t="n">
        <f aca="false">MAX(0,$B$6*IF(A45=1,1,C44)*($B$11-$B$12)/12-I44*$B$13/12)</f>
        <v>0.703094210383407</v>
      </c>
      <c r="I45" s="12" t="n">
        <f aca="false">MAX(0,I44-G45-H45)</f>
        <v>45.9620808390537</v>
      </c>
      <c r="J45" s="11" t="n">
        <f aca="false">I45/$B$5</f>
        <v>0.273583814518177</v>
      </c>
      <c r="M45" s="3"/>
    </row>
    <row r="46" customFormat="false" ht="15" hidden="false" customHeight="false" outlineLevel="0" collapsed="false">
      <c r="A46" s="45" t="n">
        <v>16</v>
      </c>
      <c r="C46" s="55" t="n">
        <f aca="false">IF(A46&gt;=$B$10,0,(1-(1+$B$18)^-($B$10-A46))/(1-(1+$B$18)^-$B$10))</f>
        <v>0.36875850674308</v>
      </c>
      <c r="D46" s="46" t="n">
        <f aca="false">$B$6*C46</f>
        <v>72.8840342739265</v>
      </c>
      <c r="E46" s="46" t="n">
        <f aca="false">$B$6*(IF(A46=1,1,C45)-C46)*IF(AND(A46&gt;=$B$17,A46&lt;$B$17+$B$16),1-$B$15,1)</f>
        <v>8.58585108631466</v>
      </c>
      <c r="F46" s="46" t="n">
        <f aca="false">$B$14*$B$6*(IF(A46=1,1,C45)-C46)</f>
        <v>0.463635958660992</v>
      </c>
      <c r="G46" s="46" t="n">
        <f aca="false">E46-F46</f>
        <v>8.12221512765367</v>
      </c>
      <c r="H46" s="46" t="n">
        <f aca="false">MAX(0,$B$6*IF(A46=1,1,C45)*($B$11-$B$12)/12-I45*$B$13/12)</f>
        <v>0.662865922878187</v>
      </c>
      <c r="I46" s="46" t="n">
        <f aca="false">MAX(0,I45-G46-H46)</f>
        <v>37.1769997885219</v>
      </c>
      <c r="J46" s="56" t="n">
        <f aca="false">I46/$B$5</f>
        <v>0.221291665407868</v>
      </c>
      <c r="M46" s="3"/>
    </row>
    <row r="47" customFormat="false" ht="15" hidden="false" customHeight="false" outlineLevel="0" collapsed="false">
      <c r="A47" s="30" t="n">
        <v>17</v>
      </c>
      <c r="C47" s="54" t="n">
        <f aca="false">IF(A47&gt;=$B$10,0,(1-(1+$B$18)^-($B$10-A47))/(1-(1+$B$18)^-$B$10))</f>
        <v>0.324746224559895</v>
      </c>
      <c r="D47" s="12" t="n">
        <f aca="false">$B$6*C47</f>
        <v>64.1851361483087</v>
      </c>
      <c r="E47" s="12" t="n">
        <f aca="false">$B$6*(IF(A47=1,1,C46)-C47)*IF(AND(A47&gt;=$B$17,A47&lt;$B$17+$B$16),1-$B$15,1)</f>
        <v>8.69889812561776</v>
      </c>
      <c r="F47" s="12" t="n">
        <f aca="false">$B$14*$B$6*(IF(A47=1,1,C46)-C47)</f>
        <v>0.469740498783359</v>
      </c>
      <c r="G47" s="12" t="n">
        <f aca="false">E47-F47</f>
        <v>8.2291576268344</v>
      </c>
      <c r="H47" s="12" t="n">
        <f aca="false">MAX(0,$B$6*IF(A47=1,1,C46)*($B$11-$B$12)/12-I46*$B$13/12)</f>
        <v>0.62174712973096</v>
      </c>
      <c r="I47" s="12" t="n">
        <f aca="false">MAX(0,I46-G47-H47)</f>
        <v>28.3260950319565</v>
      </c>
      <c r="J47" s="11" t="n">
        <f aca="false">I47/$B$5</f>
        <v>0.168607708523551</v>
      </c>
      <c r="M47" s="3"/>
    </row>
    <row r="48" customFormat="false" ht="15" hidden="false" customHeight="false" outlineLevel="0" collapsed="false">
      <c r="A48" s="45" t="n">
        <v>18</v>
      </c>
      <c r="C48" s="55" t="n">
        <f aca="false">IF(A48&gt;=$B$10,0,(1-(1+$B$18)^-($B$10-A48))/(1-(1+$B$18)^-$B$10))</f>
        <v>0.280154447327965</v>
      </c>
      <c r="D48" s="46" t="n">
        <f aca="false">$B$6*C48</f>
        <v>55.3717025307036</v>
      </c>
      <c r="E48" s="46" t="n">
        <f aca="false">$B$6*(IF(A48=1,1,C47)-C48)*IF(AND(A48&gt;=$B$17,A48&lt;$B$17+$B$16),1-$B$15,1)</f>
        <v>8.81343361760508</v>
      </c>
      <c r="F48" s="46" t="n">
        <f aca="false">$B$14*$B$6*(IF(A48=1,1,C47)-C48)</f>
        <v>0.475925415350674</v>
      </c>
      <c r="G48" s="46" t="n">
        <f aca="false">E48-F48</f>
        <v>8.33750820225441</v>
      </c>
      <c r="H48" s="46" t="n">
        <f aca="false">MAX(0,$B$6*IF(A48=1,1,C47)*($B$11-$B$12)/12-I47*$B$13/12)</f>
        <v>0.579723474875432</v>
      </c>
      <c r="I48" s="46" t="n">
        <f aca="false">MAX(0,I47-G48-H48)</f>
        <v>19.4088633548267</v>
      </c>
      <c r="J48" s="56" t="n">
        <f aca="false">I48/$B$5</f>
        <v>0.115528948540635</v>
      </c>
      <c r="M48" s="3"/>
    </row>
    <row r="49" customFormat="false" ht="15" hidden="false" customHeight="false" outlineLevel="0" collapsed="false">
      <c r="A49" s="30" t="n">
        <v>19</v>
      </c>
      <c r="C49" s="54" t="n">
        <f aca="false">IF(A49&gt;=$B$10,0,(1-(1+$B$18)^-($B$10-A49))/(1-(1+$B$18)^-$B$10))</f>
        <v>0.234975545029147</v>
      </c>
      <c r="D49" s="12" t="n">
        <f aca="false">$B$6*C49</f>
        <v>46.4422253704667</v>
      </c>
      <c r="E49" s="12" t="n">
        <f aca="false">$B$6*(IF(A49=1,1,C48)-C49)*IF(AND(A49&gt;=$B$17,A49&lt;$B$17+$B$16),1-$B$15,1)</f>
        <v>8.92947716023691</v>
      </c>
      <c r="F49" s="12" t="n">
        <f aca="false">$B$14*$B$6*(IF(A49=1,1,C48)-C49)</f>
        <v>0.482191766652793</v>
      </c>
      <c r="G49" s="12" t="n">
        <f aca="false">E49-F49</f>
        <v>8.44728539358412</v>
      </c>
      <c r="H49" s="12" t="n">
        <f aca="false">MAX(0,$B$6*IF(A49=1,1,C48)*($B$11-$B$12)/12-I48*$B$13/12)</f>
        <v>0.536780394038842</v>
      </c>
      <c r="I49" s="12" t="n">
        <f aca="false">MAX(0,I48-G49-H49)</f>
        <v>10.4247975672037</v>
      </c>
      <c r="J49" s="11" t="n">
        <f aca="false">I49/$B$5</f>
        <v>0.0620523664714508</v>
      </c>
      <c r="M49" s="3"/>
    </row>
    <row r="50" customFormat="false" ht="15" hidden="false" customHeight="false" outlineLevel="0" collapsed="false">
      <c r="A50" s="45" t="n">
        <v>20</v>
      </c>
      <c r="C50" s="55" t="n">
        <f aca="false">IF(A50&gt;=$B$10,0,(1-(1+$B$18)^-($B$10-A50))/(1-(1+$B$18)^-$B$10))</f>
        <v>0.189201787183395</v>
      </c>
      <c r="D50" s="46" t="n">
        <f aca="false">$B$6*C50</f>
        <v>37.3951767609534</v>
      </c>
      <c r="E50" s="46" t="n">
        <f aca="false">$B$6*(IF(A50=1,1,C49)-C50)*IF(AND(A50&gt;=$B$17,A50&lt;$B$17+$B$16),1-$B$15,1)</f>
        <v>9.04704860951328</v>
      </c>
      <c r="F50" s="46" t="n">
        <f aca="false">$B$14*$B$6*(IF(A50=1,1,C49)-C50)</f>
        <v>0.488540624913717</v>
      </c>
      <c r="G50" s="46" t="n">
        <f aca="false">E50-F50</f>
        <v>8.55850798459956</v>
      </c>
      <c r="H50" s="46" t="n">
        <f aca="false">MAX(0,$B$6*IF(A50=1,1,C49)*($B$11-$B$12)/12-I49*$B$13/12)</f>
        <v>0.49290311186069</v>
      </c>
      <c r="I50" s="46" t="n">
        <f aca="false">MAX(0,I49-G50-H50)</f>
        <v>1.37338647074347</v>
      </c>
      <c r="J50" s="56" t="n">
        <f aca="false">I50/$B$5</f>
        <v>0.00817491946871114</v>
      </c>
      <c r="M50" s="3"/>
    </row>
    <row r="51" customFormat="false" ht="15" hidden="false" customHeight="false" outlineLevel="0" collapsed="false">
      <c r="A51" s="30" t="n">
        <v>21</v>
      </c>
      <c r="C51" s="54" t="n">
        <f aca="false">IF(A51&gt;=$B$10,0,(1-(1+$B$18)^-($B$10-A51))/(1-(1+$B$18)^-$B$10))</f>
        <v>0.142825341526007</v>
      </c>
      <c r="D51" s="12" t="n">
        <f aca="false">$B$6*C51</f>
        <v>28.2290086780815</v>
      </c>
      <c r="E51" s="12" t="n">
        <f aca="false">$B$6*(IF(A51=1,1,C50)-C51)*IF(AND(A51&gt;=$B$17,A51&lt;$B$17+$B$16),1-$B$15,1)</f>
        <v>9.16616808287195</v>
      </c>
      <c r="F51" s="12" t="n">
        <f aca="false">$B$14*$B$6*(IF(A51=1,1,C50)-C51)</f>
        <v>0.494973076475086</v>
      </c>
      <c r="G51" s="12" t="n">
        <f aca="false">E51-F51</f>
        <v>8.67119500639687</v>
      </c>
      <c r="H51" s="12" t="n">
        <f aca="false">MAX(0,$B$6*IF(A51=1,1,C50)*($B$11-$B$12)/12-I50*$B$13/12)</f>
        <v>0.448076638972508</v>
      </c>
      <c r="I51" s="12" t="n">
        <f aca="false">MAX(0,I50-G51-H51)</f>
        <v>0</v>
      </c>
      <c r="J51" s="11" t="n">
        <f aca="false">I51/$B$5</f>
        <v>0</v>
      </c>
      <c r="M51" s="3"/>
    </row>
    <row r="52" customFormat="false" ht="15" hidden="false" customHeight="false" outlineLevel="0" collapsed="false">
      <c r="A52" s="45" t="n">
        <v>22</v>
      </c>
      <c r="C52" s="55" t="n">
        <f aca="false">IF(A52&gt;=$B$10,0,(1-(1+$B$18)^-($B$10-A52))/(1-(1+$B$18)^-$B$10))</f>
        <v>0.0958382726674642</v>
      </c>
      <c r="D52" s="46" t="n">
        <f aca="false">$B$6*C52</f>
        <v>18.9421527154518</v>
      </c>
      <c r="E52" s="46" t="n">
        <f aca="false">$B$6*(IF(A52=1,1,C51)-C52)*IF(AND(A52&gt;=$B$17,A52&lt;$B$17+$B$16),1-$B$15,1)</f>
        <v>9.28685596262973</v>
      </c>
      <c r="F52" s="46" t="n">
        <f aca="false">$B$14*$B$6*(IF(A52=1,1,C51)-C52)</f>
        <v>0.501490221982005</v>
      </c>
      <c r="G52" s="46" t="n">
        <f aca="false">E52-F52</f>
        <v>8.78536574064772</v>
      </c>
      <c r="H52" s="46" t="n">
        <f aca="false">MAX(0,$B$6*IF(A52=1,1,C51)*($B$11-$B$12)/12-I51*$B$13/12)</f>
        <v>0.345805356306498</v>
      </c>
      <c r="I52" s="46" t="n">
        <f aca="false">MAX(0,I51-G52-H52)</f>
        <v>0</v>
      </c>
      <c r="J52" s="56" t="n">
        <f aca="false">I52/$B$5</f>
        <v>0</v>
      </c>
      <c r="M52" s="3"/>
    </row>
    <row r="53" customFormat="false" ht="15" hidden="false" customHeight="false" outlineLevel="0" collapsed="false">
      <c r="A53" s="30" t="n">
        <v>23</v>
      </c>
      <c r="C53" s="54" t="n">
        <f aca="false">IF(A53&gt;=$B$10,0,(1-(1+$B$18)^-($B$10-A53))/(1-(1+$B$18)^-$B$10))</f>
        <v>0.0482325407356166</v>
      </c>
      <c r="D53" s="12" t="n">
        <f aca="false">$B$6*C53</f>
        <v>9.5330198159807</v>
      </c>
      <c r="E53" s="12" t="n">
        <f aca="false">$B$6*(IF(A53=1,1,C52)-C53)*IF(AND(A53&gt;=$B$17,A53&lt;$B$17+$B$16),1-$B$15,1)</f>
        <v>9.40913289947106</v>
      </c>
      <c r="F53" s="12" t="n">
        <f aca="false">$B$14*$B$6*(IF(A53=1,1,C52)-C53)</f>
        <v>0.508093176571437</v>
      </c>
      <c r="G53" s="12" t="n">
        <f aca="false">E53-F53</f>
        <v>8.90103972289962</v>
      </c>
      <c r="H53" s="12" t="n">
        <f aca="false">MAX(0,$B$6*IF(A53=1,1,C52)*($B$11-$B$12)/12-I52*$B$13/12)</f>
        <v>0.232041370764284</v>
      </c>
      <c r="I53" s="12" t="n">
        <f aca="false">MAX(0,I52-G53-H53)</f>
        <v>0</v>
      </c>
      <c r="J53" s="11" t="n">
        <f aca="false">I53/$B$5</f>
        <v>0</v>
      </c>
    </row>
    <row r="54" customFormat="false" ht="15" hidden="false" customHeight="false" outlineLevel="0" collapsed="false">
      <c r="A54" s="45" t="n">
        <v>24</v>
      </c>
      <c r="C54" s="55" t="n">
        <f aca="false">IF(A54&gt;=$B$10,0,(1-(1+$B$18)^-($B$10-A54))/(1-(1+$B$18)^-$B$10))</f>
        <v>0</v>
      </c>
      <c r="D54" s="46" t="n">
        <f aca="false">$B$6*C54</f>
        <v>0</v>
      </c>
      <c r="E54" s="46" t="n">
        <f aca="false">$B$6*(IF(A54=1,1,C53)-C54)*IF(AND(A54&gt;=$B$17,A54&lt;$B$17+$B$16),1-$B$15,1)</f>
        <v>9.5330198159807</v>
      </c>
      <c r="F54" s="46" t="n">
        <f aca="false">$B$14*$B$6*(IF(A54=1,1,C53)-C54)</f>
        <v>0.514783070062958</v>
      </c>
      <c r="G54" s="46" t="n">
        <f aca="false">E54-F54</f>
        <v>9.01823674591774</v>
      </c>
      <c r="H54" s="46" t="n">
        <f aca="false">MAX(0,$B$6*IF(A54=1,1,C53)*($B$11-$B$12)/12-I53*$B$13/12)</f>
        <v>0.116779492745764</v>
      </c>
      <c r="I54" s="46" t="n">
        <f aca="false">MAX(0,I53-G54-H54)</f>
        <v>0</v>
      </c>
      <c r="J54" s="56" t="n">
        <f aca="false">I54/$B$5</f>
        <v>0</v>
      </c>
    </row>
    <row r="55" customFormat="false" ht="15" hidden="false" customHeight="false" outlineLevel="0" collapsed="false">
      <c r="A55" s="30" t="n">
        <v>25</v>
      </c>
      <c r="C55" s="54" t="n">
        <f aca="false">IF(A55&gt;=$B$10,0,(1-(1+$B$18)^-($B$10-A55))/(1-(1+$B$18)^-$B$10))</f>
        <v>0</v>
      </c>
      <c r="D55" s="12" t="n">
        <f aca="false">$B$6*C55</f>
        <v>0</v>
      </c>
      <c r="E55" s="12" t="n">
        <f aca="false">$B$6*(IF(A55=1,1,C54)-C55)*IF(AND(A55&gt;=$B$17,A55&lt;$B$17+$B$16),1-$B$15,1)</f>
        <v>0</v>
      </c>
      <c r="F55" s="12" t="n">
        <f aca="false">$B$14*$B$6*(IF(A55=1,1,C54)-C55)</f>
        <v>0</v>
      </c>
      <c r="G55" s="12" t="n">
        <f aca="false">E55-F55</f>
        <v>0</v>
      </c>
      <c r="H55" s="12" t="n">
        <f aca="false">MAX(0,$B$6*IF(A55=1,1,C54)*($B$11-$B$12)/12-I54*$B$13/12)</f>
        <v>0</v>
      </c>
      <c r="I55" s="12" t="n">
        <f aca="false">MAX(0,I54-G55-H55)</f>
        <v>0</v>
      </c>
      <c r="J55" s="11" t="n">
        <f aca="false">I55/$B$5</f>
        <v>0</v>
      </c>
    </row>
    <row r="56" customFormat="false" ht="15" hidden="false" customHeight="false" outlineLevel="0" collapsed="false">
      <c r="A56" s="45" t="n">
        <v>26</v>
      </c>
      <c r="C56" s="55" t="n">
        <f aca="false">IF(A56&gt;=$B$10,0,(1-(1+$B$18)^-($B$10-A56))/(1-(1+$B$18)^-$B$10))</f>
        <v>0</v>
      </c>
      <c r="D56" s="46" t="n">
        <f aca="false">$B$6*C56</f>
        <v>0</v>
      </c>
      <c r="E56" s="46" t="n">
        <f aca="false">$B$6*(IF(A56=1,1,C55)-C56)*IF(AND(A56&gt;=$B$17,A56&lt;$B$17+$B$16),1-$B$15,1)</f>
        <v>0</v>
      </c>
      <c r="F56" s="46" t="n">
        <f aca="false">$B$14*$B$6*(IF(A56=1,1,C55)-C56)</f>
        <v>0</v>
      </c>
      <c r="G56" s="46" t="n">
        <f aca="false">E56-F56</f>
        <v>0</v>
      </c>
      <c r="H56" s="46" t="n">
        <f aca="false">MAX(0,$B$6*IF(A56=1,1,C55)*($B$11-$B$12)/12-I55*$B$13/12)</f>
        <v>0</v>
      </c>
      <c r="I56" s="46" t="n">
        <f aca="false">MAX(0,I55-G56-H56)</f>
        <v>0</v>
      </c>
      <c r="J56" s="56" t="n">
        <f aca="false">I56/$B$5</f>
        <v>0</v>
      </c>
    </row>
    <row r="57" customFormat="false" ht="15" hidden="false" customHeight="false" outlineLevel="0" collapsed="false">
      <c r="A57" s="30" t="n">
        <v>27</v>
      </c>
      <c r="C57" s="54" t="n">
        <f aca="false">IF(A57&gt;=$B$10,0,(1-(1+$B$18)^-($B$10-A57))/(1-(1+$B$18)^-$B$10))</f>
        <v>0</v>
      </c>
      <c r="D57" s="12" t="n">
        <f aca="false">$B$6*C57</f>
        <v>0</v>
      </c>
      <c r="E57" s="12" t="n">
        <f aca="false">$B$6*(IF(A57=1,1,C56)-C57)*IF(AND(A57&gt;=$B$17,A57&lt;$B$17+$B$16),1-$B$15,1)</f>
        <v>0</v>
      </c>
      <c r="F57" s="12" t="n">
        <f aca="false">$B$14*$B$6*(IF(A57=1,1,C56)-C57)</f>
        <v>0</v>
      </c>
      <c r="G57" s="12" t="n">
        <f aca="false">E57-F57</f>
        <v>0</v>
      </c>
      <c r="H57" s="12" t="n">
        <f aca="false">MAX(0,$B$6*IF(A57=1,1,C56)*($B$11-$B$12)/12-I56*$B$13/12)</f>
        <v>0</v>
      </c>
      <c r="I57" s="12" t="n">
        <f aca="false">MAX(0,I56-G57-H57)</f>
        <v>0</v>
      </c>
      <c r="J57" s="11" t="n">
        <f aca="false">I57/$B$5</f>
        <v>0</v>
      </c>
    </row>
    <row r="58" customFormat="false" ht="15" hidden="false" customHeight="false" outlineLevel="0" collapsed="false">
      <c r="A58" s="45" t="n">
        <v>28</v>
      </c>
      <c r="C58" s="55" t="n">
        <f aca="false">IF(A58&gt;=$B$10,0,(1-(1+$B$18)^-($B$10-A58))/(1-(1+$B$18)^-$B$10))</f>
        <v>0</v>
      </c>
      <c r="D58" s="46" t="n">
        <f aca="false">$B$6*C58</f>
        <v>0</v>
      </c>
      <c r="E58" s="46" t="n">
        <f aca="false">$B$6*(IF(A58=1,1,C57)-C58)*IF(AND(A58&gt;=$B$17,A58&lt;$B$17+$B$16),1-$B$15,1)</f>
        <v>0</v>
      </c>
      <c r="F58" s="46" t="n">
        <f aca="false">$B$14*$B$6*(IF(A58=1,1,C57)-C58)</f>
        <v>0</v>
      </c>
      <c r="G58" s="46" t="n">
        <f aca="false">E58-F58</f>
        <v>0</v>
      </c>
      <c r="H58" s="46" t="n">
        <f aca="false">MAX(0,$B$6*IF(A58=1,1,C57)*($B$11-$B$12)/12-I57*$B$13/12)</f>
        <v>0</v>
      </c>
      <c r="I58" s="46" t="n">
        <f aca="false">MAX(0,I57-G58-H58)</f>
        <v>0</v>
      </c>
      <c r="J58" s="56" t="n">
        <f aca="false">I58/$B$5</f>
        <v>0</v>
      </c>
    </row>
    <row r="59" customFormat="false" ht="15" hidden="false" customHeight="false" outlineLevel="0" collapsed="false">
      <c r="A59" s="30" t="n">
        <v>29</v>
      </c>
      <c r="C59" s="54" t="n">
        <f aca="false">IF(A59&gt;=$B$10,0,(1-(1+$B$18)^-($B$10-A59))/(1-(1+$B$18)^-$B$10))</f>
        <v>0</v>
      </c>
      <c r="D59" s="12" t="n">
        <f aca="false">$B$6*C59</f>
        <v>0</v>
      </c>
      <c r="E59" s="12" t="n">
        <f aca="false">$B$6*(IF(A59=1,1,C58)-C59)*IF(AND(A59&gt;=$B$17,A59&lt;$B$17+$B$16),1-$B$15,1)</f>
        <v>0</v>
      </c>
      <c r="F59" s="12" t="n">
        <f aca="false">$B$14*$B$6*(IF(A59=1,1,C58)-C59)</f>
        <v>0</v>
      </c>
      <c r="G59" s="12" t="n">
        <f aca="false">E59-F59</f>
        <v>0</v>
      </c>
      <c r="H59" s="12" t="n">
        <f aca="false">MAX(0,$B$6*IF(A59=1,1,C58)*($B$11-$B$12)/12-I58*$B$13/12)</f>
        <v>0</v>
      </c>
      <c r="I59" s="12" t="n">
        <f aca="false">MAX(0,I58-G59-H59)</f>
        <v>0</v>
      </c>
      <c r="J59" s="11" t="n">
        <f aca="false">I59/$B$5</f>
        <v>0</v>
      </c>
    </row>
    <row r="60" customFormat="false" ht="15" hidden="false" customHeight="false" outlineLevel="0" collapsed="false">
      <c r="A60" s="45" t="n">
        <v>30</v>
      </c>
      <c r="C60" s="55" t="n">
        <f aca="false">IF(A60&gt;=$B$10,0,(1-(1+$B$18)^-($B$10-A60))/(1-(1+$B$18)^-$B$10))</f>
        <v>0</v>
      </c>
      <c r="D60" s="46" t="n">
        <f aca="false">$B$6*C60</f>
        <v>0</v>
      </c>
      <c r="E60" s="46" t="n">
        <f aca="false">$B$6*(IF(A60=1,1,C59)-C60)*IF(AND(A60&gt;=$B$17,A60&lt;$B$17+$B$16),1-$B$15,1)</f>
        <v>0</v>
      </c>
      <c r="F60" s="46" t="n">
        <f aca="false">$B$14*$B$6*(IF(A60=1,1,C59)-C60)</f>
        <v>0</v>
      </c>
      <c r="G60" s="46" t="n">
        <f aca="false">E60-F60</f>
        <v>0</v>
      </c>
      <c r="H60" s="46" t="n">
        <f aca="false">MAX(0,$B$6*IF(A60=1,1,C59)*($B$11-$B$12)/12-I59*$B$13/12)</f>
        <v>0</v>
      </c>
      <c r="I60" s="46" t="n">
        <f aca="false">MAX(0,I59-G60-H60)</f>
        <v>0</v>
      </c>
      <c r="J60" s="56" t="n">
        <f aca="false">I60/$B$5</f>
        <v>0</v>
      </c>
    </row>
    <row r="61" customFormat="false" ht="15" hidden="false" customHeight="false" outlineLevel="0" collapsed="false">
      <c r="A61" s="30" t="n">
        <v>31</v>
      </c>
      <c r="C61" s="54" t="n">
        <f aca="false">IF(A61&gt;=$B$10,0,(1-(1+$B$18)^-($B$10-A61))/(1-(1+$B$18)^-$B$10))</f>
        <v>0</v>
      </c>
      <c r="D61" s="12" t="n">
        <f aca="false">$B$6*C61</f>
        <v>0</v>
      </c>
      <c r="E61" s="12" t="n">
        <f aca="false">$B$6*(IF(A61=1,1,C60)-C61)*IF(AND(A61&gt;=$B$17,A61&lt;$B$17+$B$16),1-$B$15,1)</f>
        <v>0</v>
      </c>
      <c r="F61" s="12" t="n">
        <f aca="false">$B$14*$B$6*(IF(A61=1,1,C60)-C61)</f>
        <v>0</v>
      </c>
      <c r="G61" s="12" t="n">
        <f aca="false">E61-F61</f>
        <v>0</v>
      </c>
      <c r="H61" s="12" t="n">
        <f aca="false">MAX(0,$B$6*IF(A61=1,1,C60)*($B$11-$B$12)/12-I60*$B$13/12)</f>
        <v>0</v>
      </c>
      <c r="I61" s="12" t="n">
        <f aca="false">MAX(0,I60-G61-H61)</f>
        <v>0</v>
      </c>
      <c r="J61" s="11" t="n">
        <f aca="false">I61/$B$5</f>
        <v>0</v>
      </c>
    </row>
    <row r="62" customFormat="false" ht="15" hidden="false" customHeight="false" outlineLevel="0" collapsed="false">
      <c r="A62" s="45" t="n">
        <v>32</v>
      </c>
      <c r="C62" s="55" t="n">
        <f aca="false">IF(A62&gt;=$B$10,0,(1-(1+$B$18)^-($B$10-A62))/(1-(1+$B$18)^-$B$10))</f>
        <v>0</v>
      </c>
      <c r="D62" s="46" t="n">
        <f aca="false">$B$6*C62</f>
        <v>0</v>
      </c>
      <c r="E62" s="46" t="n">
        <f aca="false">$B$6*(IF(A62=1,1,C61)-C62)*IF(AND(A62&gt;=$B$17,A62&lt;$B$17+$B$16),1-$B$15,1)</f>
        <v>0</v>
      </c>
      <c r="F62" s="46" t="n">
        <f aca="false">$B$14*$B$6*(IF(A62=1,1,C61)-C62)</f>
        <v>0</v>
      </c>
      <c r="G62" s="46" t="n">
        <f aca="false">E62-F62</f>
        <v>0</v>
      </c>
      <c r="H62" s="46" t="n">
        <f aca="false">MAX(0,$B$6*IF(A62=1,1,C61)*($B$11-$B$12)/12-I61*$B$13/12)</f>
        <v>0</v>
      </c>
      <c r="I62" s="46" t="n">
        <f aca="false">MAX(0,I61-G62-H62)</f>
        <v>0</v>
      </c>
      <c r="J62" s="56" t="n">
        <f aca="false">I62/$B$5</f>
        <v>0</v>
      </c>
    </row>
    <row r="63" customFormat="false" ht="15" hidden="false" customHeight="false" outlineLevel="0" collapsed="false">
      <c r="A63" s="30" t="n">
        <v>33</v>
      </c>
      <c r="C63" s="54" t="n">
        <f aca="false">IF(A63&gt;=$B$10,0,(1-(1+$B$18)^-($B$10-A63))/(1-(1+$B$18)^-$B$10))</f>
        <v>0</v>
      </c>
      <c r="D63" s="12" t="n">
        <f aca="false">$B$6*C63</f>
        <v>0</v>
      </c>
      <c r="E63" s="12" t="n">
        <f aca="false">$B$6*(IF(A63=1,1,C62)-C63)*IF(AND(A63&gt;=$B$17,A63&lt;$B$17+$B$16),1-$B$15,1)</f>
        <v>0</v>
      </c>
      <c r="F63" s="12" t="n">
        <f aca="false">$B$14*$B$6*(IF(A63=1,1,C62)-C63)</f>
        <v>0</v>
      </c>
      <c r="G63" s="12" t="n">
        <f aca="false">E63-F63</f>
        <v>0</v>
      </c>
      <c r="H63" s="12" t="n">
        <f aca="false">MAX(0,$B$6*IF(A63=1,1,C62)*($B$11-$B$12)/12-I62*$B$13/12)</f>
        <v>0</v>
      </c>
      <c r="I63" s="12" t="n">
        <f aca="false">MAX(0,I62-G63-H63)</f>
        <v>0</v>
      </c>
      <c r="J63" s="11" t="n">
        <f aca="false">I63/$B$5</f>
        <v>0</v>
      </c>
    </row>
    <row r="64" customFormat="false" ht="15" hidden="false" customHeight="false" outlineLevel="0" collapsed="false">
      <c r="A64" s="45" t="n">
        <v>34</v>
      </c>
      <c r="C64" s="55" t="n">
        <f aca="false">IF(A64&gt;=$B$10,0,(1-(1+$B$18)^-($B$10-A64))/(1-(1+$B$18)^-$B$10))</f>
        <v>0</v>
      </c>
      <c r="D64" s="46" t="n">
        <f aca="false">$B$6*C64</f>
        <v>0</v>
      </c>
      <c r="E64" s="46" t="n">
        <f aca="false">$B$6*(IF(A64=1,1,C63)-C64)*IF(AND(A64&gt;=$B$17,A64&lt;$B$17+$B$16),1-$B$15,1)</f>
        <v>0</v>
      </c>
      <c r="F64" s="46" t="n">
        <f aca="false">$B$14*$B$6*(IF(A64=1,1,C63)-C64)</f>
        <v>0</v>
      </c>
      <c r="G64" s="46" t="n">
        <f aca="false">E64-F64</f>
        <v>0</v>
      </c>
      <c r="H64" s="46" t="n">
        <f aca="false">MAX(0,$B$6*IF(A64=1,1,C63)*($B$11-$B$12)/12-I63*$B$13/12)</f>
        <v>0</v>
      </c>
      <c r="I64" s="46" t="n">
        <f aca="false">MAX(0,I63-G64-H64)</f>
        <v>0</v>
      </c>
      <c r="J64" s="56" t="n">
        <f aca="false">I64/$B$5</f>
        <v>0</v>
      </c>
    </row>
    <row r="65" customFormat="false" ht="15" hidden="false" customHeight="false" outlineLevel="0" collapsed="false">
      <c r="A65" s="30" t="n">
        <v>35</v>
      </c>
      <c r="C65" s="54" t="n">
        <f aca="false">IF(A65&gt;=$B$10,0,(1-(1+$B$18)^-($B$10-A65))/(1-(1+$B$18)^-$B$10))</f>
        <v>0</v>
      </c>
      <c r="D65" s="12" t="n">
        <f aca="false">$B$6*C65</f>
        <v>0</v>
      </c>
      <c r="E65" s="12" t="n">
        <f aca="false">$B$6*(IF(A65=1,1,C64)-C65)*IF(AND(A65&gt;=$B$17,A65&lt;$B$17+$B$16),1-$B$15,1)</f>
        <v>0</v>
      </c>
      <c r="F65" s="12" t="n">
        <f aca="false">$B$14*$B$6*(IF(A65=1,1,C64)-C65)</f>
        <v>0</v>
      </c>
      <c r="G65" s="12" t="n">
        <f aca="false">E65-F65</f>
        <v>0</v>
      </c>
      <c r="H65" s="12" t="n">
        <f aca="false">MAX(0,$B$6*IF(A65=1,1,C64)*($B$11-$B$12)/12-I64*$B$13/12)</f>
        <v>0</v>
      </c>
      <c r="I65" s="12" t="n">
        <f aca="false">MAX(0,I64-G65-H65)</f>
        <v>0</v>
      </c>
      <c r="J65" s="11" t="n">
        <f aca="false">I65/$B$5</f>
        <v>0</v>
      </c>
    </row>
    <row r="66" customFormat="false" ht="15" hidden="false" customHeight="false" outlineLevel="0" collapsed="false">
      <c r="A66" s="45" t="n">
        <v>36</v>
      </c>
      <c r="C66" s="55" t="n">
        <f aca="false">IF(A66&gt;=$B$10,0,(1-(1+$B$18)^-($B$10-A66))/(1-(1+$B$18)^-$B$10))</f>
        <v>0</v>
      </c>
      <c r="D66" s="46" t="n">
        <f aca="false">$B$6*C66</f>
        <v>0</v>
      </c>
      <c r="E66" s="46" t="n">
        <f aca="false">$B$6*(IF(A66=1,1,C65)-C66)*IF(AND(A66&gt;=$B$17,A66&lt;$B$17+$B$16),1-$B$15,1)</f>
        <v>0</v>
      </c>
      <c r="F66" s="46" t="n">
        <f aca="false">$B$14*$B$6*(IF(A66=1,1,C65)-C66)</f>
        <v>0</v>
      </c>
      <c r="G66" s="46" t="n">
        <f aca="false">E66-F66</f>
        <v>0</v>
      </c>
      <c r="H66" s="46" t="n">
        <f aca="false">MAX(0,$B$6*IF(A66=1,1,C65)*($B$11-$B$12)/12-I65*$B$13/12)</f>
        <v>0</v>
      </c>
      <c r="I66" s="46" t="n">
        <f aca="false">MAX(0,I65-G66-H66)</f>
        <v>0</v>
      </c>
      <c r="J66" s="56" t="n">
        <f aca="false">I66/$B$5</f>
        <v>0</v>
      </c>
    </row>
    <row r="67" customFormat="false" ht="15" hidden="false" customHeight="false" outlineLevel="0" collapsed="false">
      <c r="A67" s="30" t="n">
        <v>37</v>
      </c>
      <c r="C67" s="54" t="n">
        <f aca="false">IF(A67&gt;=$B$10,0,(1-(1+$B$18)^-($B$10-A67))/(1-(1+$B$18)^-$B$10))</f>
        <v>0</v>
      </c>
      <c r="D67" s="12" t="n">
        <f aca="false">$B$6*C67</f>
        <v>0</v>
      </c>
      <c r="E67" s="12" t="n">
        <f aca="false">$B$6*(IF(A67=1,1,C66)-C67)*IF(AND(A67&gt;=$B$17,A67&lt;$B$17+$B$16),1-$B$15,1)</f>
        <v>0</v>
      </c>
      <c r="F67" s="12" t="n">
        <f aca="false">$B$14*$B$6*(IF(A67=1,1,C66)-C67)</f>
        <v>0</v>
      </c>
      <c r="G67" s="12" t="n">
        <f aca="false">E67-F67</f>
        <v>0</v>
      </c>
      <c r="H67" s="12" t="n">
        <f aca="false">MAX(0,$B$6*IF(A67=1,1,C66)*($B$11-$B$12)/12-I66*$B$13/12)</f>
        <v>0</v>
      </c>
      <c r="I67" s="12" t="n">
        <f aca="false">MAX(0,I66-G67-H67)</f>
        <v>0</v>
      </c>
      <c r="J67" s="11" t="n">
        <f aca="false">I67/$B$5</f>
        <v>0</v>
      </c>
    </row>
    <row r="68" customFormat="false" ht="15" hidden="false" customHeight="false" outlineLevel="0" collapsed="false">
      <c r="A68" s="45" t="n">
        <v>38</v>
      </c>
      <c r="C68" s="55" t="n">
        <f aca="false">IF(A68&gt;=$B$10,0,(1-(1+$B$18)^-($B$10-A68))/(1-(1+$B$18)^-$B$10))</f>
        <v>0</v>
      </c>
      <c r="D68" s="46" t="n">
        <f aca="false">$B$6*C68</f>
        <v>0</v>
      </c>
      <c r="E68" s="46" t="n">
        <f aca="false">$B$6*(IF(A68=1,1,C67)-C68)*IF(AND(A68&gt;=$B$17,A68&lt;$B$17+$B$16),1-$B$15,1)</f>
        <v>0</v>
      </c>
      <c r="F68" s="46" t="n">
        <f aca="false">$B$14*$B$6*(IF(A68=1,1,C67)-C68)</f>
        <v>0</v>
      </c>
      <c r="G68" s="46" t="n">
        <f aca="false">E68-F68</f>
        <v>0</v>
      </c>
      <c r="H68" s="46" t="n">
        <f aca="false">MAX(0,$B$6*IF(A68=1,1,C67)*($B$11-$B$12)/12-I67*$B$13/12)</f>
        <v>0</v>
      </c>
      <c r="I68" s="46" t="n">
        <f aca="false">MAX(0,I67-G68-H68)</f>
        <v>0</v>
      </c>
      <c r="J68" s="56" t="n">
        <f aca="false">I68/$B$5</f>
        <v>0</v>
      </c>
    </row>
    <row r="69" customFormat="false" ht="15" hidden="false" customHeight="false" outlineLevel="0" collapsed="false">
      <c r="A69" s="30" t="n">
        <v>39</v>
      </c>
      <c r="C69" s="54" t="n">
        <f aca="false">IF(A69&gt;=$B$10,0,(1-(1+$B$18)^-($B$10-A69))/(1-(1+$B$18)^-$B$10))</f>
        <v>0</v>
      </c>
      <c r="D69" s="12" t="n">
        <f aca="false">$B$6*C69</f>
        <v>0</v>
      </c>
      <c r="E69" s="12" t="n">
        <f aca="false">$B$6*(IF(A69=1,1,C68)-C69)*IF(AND(A69&gt;=$B$17,A69&lt;$B$17+$B$16),1-$B$15,1)</f>
        <v>0</v>
      </c>
      <c r="F69" s="12" t="n">
        <f aca="false">$B$14*$B$6*(IF(A69=1,1,C68)-C69)</f>
        <v>0</v>
      </c>
      <c r="G69" s="12" t="n">
        <f aca="false">E69-F69</f>
        <v>0</v>
      </c>
      <c r="H69" s="12" t="n">
        <f aca="false">MAX(0,$B$6*IF(A69=1,1,C68)*($B$11-$B$12)/12-I68*$B$13/12)</f>
        <v>0</v>
      </c>
      <c r="I69" s="12" t="n">
        <f aca="false">MAX(0,I68-G69-H69)</f>
        <v>0</v>
      </c>
      <c r="J69" s="11" t="n">
        <f aca="false">I69/$B$5</f>
        <v>0</v>
      </c>
    </row>
    <row r="70" customFormat="false" ht="15" hidden="false" customHeight="false" outlineLevel="0" collapsed="false">
      <c r="A70" s="45" t="n">
        <v>40</v>
      </c>
      <c r="C70" s="55" t="n">
        <f aca="false">IF(A70&gt;=$B$10,0,(1-(1+$B$18)^-($B$10-A70))/(1-(1+$B$18)^-$B$10))</f>
        <v>0</v>
      </c>
      <c r="D70" s="46" t="n">
        <f aca="false">$B$6*C70</f>
        <v>0</v>
      </c>
      <c r="E70" s="46" t="n">
        <f aca="false">$B$6*(IF(A70=1,1,C69)-C70)*IF(AND(A70&gt;=$B$17,A70&lt;$B$17+$B$16),1-$B$15,1)</f>
        <v>0</v>
      </c>
      <c r="F70" s="46" t="n">
        <f aca="false">$B$14*$B$6*(IF(A70=1,1,C69)-C70)</f>
        <v>0</v>
      </c>
      <c r="G70" s="46" t="n">
        <f aca="false">E70-F70</f>
        <v>0</v>
      </c>
      <c r="H70" s="46" t="n">
        <f aca="false">MAX(0,$B$6*IF(A70=1,1,C69)*($B$11-$B$12)/12-I69*$B$13/12)</f>
        <v>0</v>
      </c>
      <c r="I70" s="46" t="n">
        <f aca="false">MAX(0,I69-G70-H70)</f>
        <v>0</v>
      </c>
      <c r="J70" s="56" t="n">
        <f aca="false">I70/$B$5</f>
        <v>0</v>
      </c>
    </row>
    <row r="71" customFormat="false" ht="15" hidden="false" customHeight="false" outlineLevel="0" collapsed="false">
      <c r="A71" s="30" t="n">
        <v>41</v>
      </c>
      <c r="C71" s="54" t="n">
        <f aca="false">IF(A71&gt;=$B$10,0,(1-(1+$B$18)^-($B$10-A71))/(1-(1+$B$18)^-$B$10))</f>
        <v>0</v>
      </c>
      <c r="D71" s="12" t="n">
        <f aca="false">$B$6*C71</f>
        <v>0</v>
      </c>
      <c r="E71" s="12" t="n">
        <f aca="false">$B$6*(IF(A71=1,1,C70)-C71)*IF(AND(A71&gt;=$B$17,A71&lt;$B$17+$B$16),1-$B$15,1)</f>
        <v>0</v>
      </c>
      <c r="F71" s="12" t="n">
        <f aca="false">$B$14*$B$6*(IF(A71=1,1,C70)-C71)</f>
        <v>0</v>
      </c>
      <c r="G71" s="12" t="n">
        <f aca="false">E71-F71</f>
        <v>0</v>
      </c>
      <c r="H71" s="12" t="n">
        <f aca="false">MAX(0,$B$6*IF(A71=1,1,C70)*($B$11-$B$12)/12-I70*$B$13/12)</f>
        <v>0</v>
      </c>
      <c r="I71" s="12" t="n">
        <f aca="false">MAX(0,I70-G71-H71)</f>
        <v>0</v>
      </c>
      <c r="J71" s="11" t="n">
        <f aca="false">I71/$B$5</f>
        <v>0</v>
      </c>
    </row>
    <row r="72" customFormat="false" ht="15" hidden="false" customHeight="false" outlineLevel="0" collapsed="false">
      <c r="A72" s="45" t="n">
        <v>42</v>
      </c>
      <c r="C72" s="55" t="n">
        <f aca="false">IF(A72&gt;=$B$10,0,(1-(1+$B$18)^-($B$10-A72))/(1-(1+$B$18)^-$B$10))</f>
        <v>0</v>
      </c>
      <c r="D72" s="46" t="n">
        <f aca="false">$B$6*C72</f>
        <v>0</v>
      </c>
      <c r="E72" s="46" t="n">
        <f aca="false">$B$6*(IF(A72=1,1,C71)-C72)*IF(AND(A72&gt;=$B$17,A72&lt;$B$17+$B$16),1-$B$15,1)</f>
        <v>0</v>
      </c>
      <c r="F72" s="46" t="n">
        <f aca="false">$B$14*$B$6*(IF(A72=1,1,C71)-C72)</f>
        <v>0</v>
      </c>
      <c r="G72" s="46" t="n">
        <f aca="false">E72-F72</f>
        <v>0</v>
      </c>
      <c r="H72" s="46" t="n">
        <f aca="false">MAX(0,$B$6*IF(A72=1,1,C71)*($B$11-$B$12)/12-I71*$B$13/12)</f>
        <v>0</v>
      </c>
      <c r="I72" s="46" t="n">
        <f aca="false">MAX(0,I71-G72-H72)</f>
        <v>0</v>
      </c>
      <c r="J72" s="56" t="n">
        <f aca="false">I72/$B$5</f>
        <v>0</v>
      </c>
    </row>
    <row r="73" customFormat="false" ht="15" hidden="false" customHeight="false" outlineLevel="0" collapsed="false">
      <c r="A73" s="30" t="n">
        <v>43</v>
      </c>
      <c r="C73" s="54" t="n">
        <f aca="false">IF(A73&gt;=$B$10,0,(1-(1+$B$18)^-($B$10-A73))/(1-(1+$B$18)^-$B$10))</f>
        <v>0</v>
      </c>
      <c r="D73" s="12" t="n">
        <f aca="false">$B$6*C73</f>
        <v>0</v>
      </c>
      <c r="E73" s="12" t="n">
        <f aca="false">$B$6*(IF(A73=1,1,C72)-C73)*IF(AND(A73&gt;=$B$17,A73&lt;$B$17+$B$16),1-$B$15,1)</f>
        <v>0</v>
      </c>
      <c r="F73" s="12" t="n">
        <f aca="false">$B$14*$B$6*(IF(A73=1,1,C72)-C73)</f>
        <v>0</v>
      </c>
      <c r="G73" s="12" t="n">
        <f aca="false">E73-F73</f>
        <v>0</v>
      </c>
      <c r="H73" s="12" t="n">
        <f aca="false">MAX(0,$B$6*IF(A73=1,1,C72)*($B$11-$B$12)/12-I72*$B$13/12)</f>
        <v>0</v>
      </c>
      <c r="I73" s="12" t="n">
        <f aca="false">MAX(0,I72-G73-H73)</f>
        <v>0</v>
      </c>
      <c r="J73" s="11" t="n">
        <f aca="false">I73/$B$5</f>
        <v>0</v>
      </c>
    </row>
    <row r="74" customFormat="false" ht="15" hidden="false" customHeight="false" outlineLevel="0" collapsed="false">
      <c r="A74" s="45" t="n">
        <v>44</v>
      </c>
      <c r="C74" s="55" t="n">
        <f aca="false">IF(A74&gt;=$B$10,0,(1-(1+$B$18)^-($B$10-A74))/(1-(1+$B$18)^-$B$10))</f>
        <v>0</v>
      </c>
      <c r="D74" s="46" t="n">
        <f aca="false">$B$6*C74</f>
        <v>0</v>
      </c>
      <c r="E74" s="46" t="n">
        <f aca="false">$B$6*(IF(A74=1,1,C73)-C74)*IF(AND(A74&gt;=$B$17,A74&lt;$B$17+$B$16),1-$B$15,1)</f>
        <v>0</v>
      </c>
      <c r="F74" s="46" t="n">
        <f aca="false">$B$14*$B$6*(IF(A74=1,1,C73)-C74)</f>
        <v>0</v>
      </c>
      <c r="G74" s="46" t="n">
        <f aca="false">E74-F74</f>
        <v>0</v>
      </c>
      <c r="H74" s="46" t="n">
        <f aca="false">MAX(0,$B$6*IF(A74=1,1,C73)*($B$11-$B$12)/12-I73*$B$13/12)</f>
        <v>0</v>
      </c>
      <c r="I74" s="46" t="n">
        <f aca="false">MAX(0,I73-G74-H74)</f>
        <v>0</v>
      </c>
      <c r="J74" s="56" t="n">
        <f aca="false">I74/$B$5</f>
        <v>0</v>
      </c>
    </row>
    <row r="75" customFormat="false" ht="15" hidden="false" customHeight="false" outlineLevel="0" collapsed="false">
      <c r="A75" s="30" t="n">
        <v>45</v>
      </c>
      <c r="C75" s="54" t="n">
        <f aca="false">IF(A75&gt;=$B$10,0,(1-(1+$B$18)^-($B$10-A75))/(1-(1+$B$18)^-$B$10))</f>
        <v>0</v>
      </c>
      <c r="D75" s="12" t="n">
        <f aca="false">$B$6*C75</f>
        <v>0</v>
      </c>
      <c r="E75" s="12" t="n">
        <f aca="false">$B$6*(IF(A75=1,1,C74)-C75)*IF(AND(A75&gt;=$B$17,A75&lt;$B$17+$B$16),1-$B$15,1)</f>
        <v>0</v>
      </c>
      <c r="F75" s="12" t="n">
        <f aca="false">$B$14*$B$6*(IF(A75=1,1,C74)-C75)</f>
        <v>0</v>
      </c>
      <c r="G75" s="12" t="n">
        <f aca="false">E75-F75</f>
        <v>0</v>
      </c>
      <c r="H75" s="12" t="n">
        <f aca="false">MAX(0,$B$6*IF(A75=1,1,C74)*($B$11-$B$12)/12-I74*$B$13/12)</f>
        <v>0</v>
      </c>
      <c r="I75" s="12" t="n">
        <f aca="false">MAX(0,I74-G75-H75)</f>
        <v>0</v>
      </c>
      <c r="J75" s="11" t="n">
        <f aca="false">I75/$B$5</f>
        <v>0</v>
      </c>
    </row>
    <row r="76" customFormat="false" ht="15" hidden="false" customHeight="false" outlineLevel="0" collapsed="false">
      <c r="A76" s="45" t="n">
        <v>46</v>
      </c>
      <c r="C76" s="55" t="n">
        <f aca="false">IF(A76&gt;=$B$10,0,(1-(1+$B$18)^-($B$10-A76))/(1-(1+$B$18)^-$B$10))</f>
        <v>0</v>
      </c>
      <c r="D76" s="46" t="n">
        <f aca="false">$B$6*C76</f>
        <v>0</v>
      </c>
      <c r="E76" s="46" t="n">
        <f aca="false">$B$6*(IF(A76=1,1,C75)-C76)*IF(AND(A76&gt;=$B$17,A76&lt;$B$17+$B$16),1-$B$15,1)</f>
        <v>0</v>
      </c>
      <c r="F76" s="46" t="n">
        <f aca="false">$B$14*$B$6*(IF(A76=1,1,C75)-C76)</f>
        <v>0</v>
      </c>
      <c r="G76" s="46" t="n">
        <f aca="false">E76-F76</f>
        <v>0</v>
      </c>
      <c r="H76" s="46" t="n">
        <f aca="false">MAX(0,$B$6*IF(A76=1,1,C75)*($B$11-$B$12)/12-I75*$B$13/12)</f>
        <v>0</v>
      </c>
      <c r="I76" s="46" t="n">
        <f aca="false">MAX(0,I75-G76-H76)</f>
        <v>0</v>
      </c>
      <c r="J76" s="56" t="n">
        <f aca="false">I76/$B$5</f>
        <v>0</v>
      </c>
    </row>
    <row r="77" customFormat="false" ht="15" hidden="false" customHeight="false" outlineLevel="0" collapsed="false">
      <c r="A77" s="30" t="n">
        <v>47</v>
      </c>
      <c r="C77" s="54" t="n">
        <f aca="false">IF(A77&gt;=$B$10,0,(1-(1+$B$18)^-($B$10-A77))/(1-(1+$B$18)^-$B$10))</f>
        <v>0</v>
      </c>
      <c r="D77" s="12" t="n">
        <f aca="false">$B$6*C77</f>
        <v>0</v>
      </c>
      <c r="E77" s="12" t="n">
        <f aca="false">$B$6*(IF(A77=1,1,C76)-C77)*IF(AND(A77&gt;=$B$17,A77&lt;$B$17+$B$16),1-$B$15,1)</f>
        <v>0</v>
      </c>
      <c r="F77" s="12" t="n">
        <f aca="false">$B$14*$B$6*(IF(A77=1,1,C76)-C77)</f>
        <v>0</v>
      </c>
      <c r="G77" s="12" t="n">
        <f aca="false">E77-F77</f>
        <v>0</v>
      </c>
      <c r="H77" s="12" t="n">
        <f aca="false">MAX(0,$B$6*IF(A77=1,1,C76)*($B$11-$B$12)/12-I76*$B$13/12)</f>
        <v>0</v>
      </c>
      <c r="I77" s="12" t="n">
        <f aca="false">MAX(0,I76-G77-H77)</f>
        <v>0</v>
      </c>
      <c r="J77" s="11" t="n">
        <f aca="false">I77/$B$5</f>
        <v>0</v>
      </c>
    </row>
    <row r="78" customFormat="false" ht="15" hidden="false" customHeight="false" outlineLevel="0" collapsed="false">
      <c r="A78" s="45" t="n">
        <v>48</v>
      </c>
      <c r="C78" s="55" t="n">
        <f aca="false">IF(A78&gt;=$B$10,0,(1-(1+$B$18)^-($B$10-A78))/(1-(1+$B$18)^-$B$10))</f>
        <v>0</v>
      </c>
      <c r="D78" s="46" t="n">
        <f aca="false">$B$6*C78</f>
        <v>0</v>
      </c>
      <c r="E78" s="46" t="n">
        <f aca="false">$B$6*(IF(A78=1,1,C77)-C78)*IF(AND(A78&gt;=$B$17,A78&lt;$B$17+$B$16),1-$B$15,1)</f>
        <v>0</v>
      </c>
      <c r="F78" s="46" t="n">
        <f aca="false">$B$14*$B$6*(IF(A78=1,1,C77)-C78)</f>
        <v>0</v>
      </c>
      <c r="G78" s="46" t="n">
        <f aca="false">E78-F78</f>
        <v>0</v>
      </c>
      <c r="H78" s="46" t="n">
        <f aca="false">MAX(0,$B$6*IF(A78=1,1,C77)*($B$11-$B$12)/12-I77*$B$13/12)</f>
        <v>0</v>
      </c>
      <c r="I78" s="46" t="n">
        <f aca="false">MAX(0,I77-G78-H78)</f>
        <v>0</v>
      </c>
      <c r="J78" s="56" t="n">
        <f aca="false">I78/$B$5</f>
        <v>0</v>
      </c>
    </row>
    <row r="79" customFormat="false" ht="15" hidden="false" customHeight="false" outlineLevel="0" collapsed="false">
      <c r="A79" s="30" t="n">
        <v>49</v>
      </c>
      <c r="C79" s="54" t="n">
        <f aca="false">IF(A79&gt;=$B$10,0,(1-(1+$B$18)^-($B$10-A79))/(1-(1+$B$18)^-$B$10))</f>
        <v>0</v>
      </c>
      <c r="D79" s="12" t="n">
        <f aca="false">$B$6*C79</f>
        <v>0</v>
      </c>
      <c r="E79" s="12" t="n">
        <f aca="false">$B$6*(IF(A79=1,1,C78)-C79)*IF(AND(A79&gt;=$B$17,A79&lt;$B$17+$B$16),1-$B$15,1)</f>
        <v>0</v>
      </c>
      <c r="F79" s="12" t="n">
        <f aca="false">$B$14*$B$6*(IF(A79=1,1,C78)-C79)</f>
        <v>0</v>
      </c>
      <c r="G79" s="12" t="n">
        <f aca="false">E79-F79</f>
        <v>0</v>
      </c>
      <c r="H79" s="12" t="n">
        <f aca="false">MAX(0,$B$6*IF(A79=1,1,C78)*($B$11-$B$12)/12-I78*$B$13/12)</f>
        <v>0</v>
      </c>
      <c r="I79" s="12" t="n">
        <f aca="false">MAX(0,I78-G79-H79)</f>
        <v>0</v>
      </c>
      <c r="J79" s="11" t="n">
        <f aca="false">I79/$B$5</f>
        <v>0</v>
      </c>
    </row>
    <row r="81" customFormat="false" ht="15" hidden="false" customHeight="false" outlineLevel="0" collapsed="false">
      <c r="A81" s="2" t="s">
        <v>248</v>
      </c>
    </row>
  </sheetData>
  <mergeCells count="1">
    <mergeCell ref="M5:M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6" min="2" style="0" width="14"/>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249</v>
      </c>
    </row>
    <row r="2" customFormat="false" ht="15" hidden="false" customHeight="false" outlineLevel="0" collapsed="false">
      <c r="A2" s="2" t="s">
        <v>250</v>
      </c>
    </row>
    <row r="4" customFormat="false" ht="27.75" hidden="false" customHeight="true" outlineLevel="0" collapsed="false">
      <c r="A4" s="13" t="s">
        <v>251</v>
      </c>
      <c r="B4" s="57" t="n">
        <v>18</v>
      </c>
      <c r="C4" s="57" t="n">
        <v>24</v>
      </c>
      <c r="D4" s="57" t="n">
        <v>31</v>
      </c>
      <c r="E4" s="57" t="n">
        <v>40</v>
      </c>
      <c r="F4" s="57" t="n">
        <v>57</v>
      </c>
      <c r="H4" s="5" t="s">
        <v>252</v>
      </c>
    </row>
    <row r="5" customFormat="false" ht="15" hidden="false" customHeight="true" outlineLevel="0" collapsed="false">
      <c r="A5" s="20" t="s">
        <v>253</v>
      </c>
      <c r="B5" s="32" t="n">
        <f aca="false">1+SUM(B14:B62)</f>
        <v>9.85176401110459</v>
      </c>
      <c r="C5" s="32" t="n">
        <f aca="false">1+SUM(C14:C62)</f>
        <v>13.125756495741</v>
      </c>
      <c r="D5" s="32" t="n">
        <f aca="false">1+SUM(D14:D62)</f>
        <v>17.0435995053114</v>
      </c>
      <c r="E5" s="32" t="n">
        <f aca="false">1+SUM(E14:E62)</f>
        <v>22.2351020589692</v>
      </c>
      <c r="F5" s="32" t="n">
        <f aca="false">1+SUM(F14:F62)</f>
        <v>31.8334711825989</v>
      </c>
      <c r="H5" s="3" t="s">
        <v>254</v>
      </c>
    </row>
    <row r="6" customFormat="false" ht="15" hidden="false" customHeight="false" outlineLevel="0" collapsed="false">
      <c r="A6" s="20" t="s">
        <v>255</v>
      </c>
      <c r="B6" s="25" t="n">
        <f aca="false">INDEX(B71:B119,9)</f>
        <v>0.441211687322411</v>
      </c>
      <c r="C6" s="25" t="n">
        <f aca="false">INDEX(C71:C119,9)</f>
        <v>0.579273551286544</v>
      </c>
      <c r="D6" s="25" t="n">
        <f aca="false">INDEX(D71:D119,9)</f>
        <v>0.672384953028109</v>
      </c>
      <c r="E6" s="25" t="n">
        <f aca="false">INDEX(E71:E119,9)</f>
        <v>0.743709145841815</v>
      </c>
      <c r="F6" s="25" t="n">
        <f aca="false">INDEX(F71:F119,9)</f>
        <v>0.815908228843159</v>
      </c>
      <c r="H6" s="3"/>
    </row>
    <row r="7" customFormat="false" ht="15" hidden="false" customHeight="false" outlineLevel="0" collapsed="false">
      <c r="A7" s="20" t="s">
        <v>256</v>
      </c>
      <c r="B7" s="25" t="n">
        <f aca="false">INDEX(B71:B119,20)</f>
        <v>0</v>
      </c>
      <c r="C7" s="25" t="n">
        <f aca="false">INDEX(C71:C119,20)</f>
        <v>0.0081749194687111</v>
      </c>
      <c r="D7" s="25" t="n">
        <f aca="false">INDEX(D71:D119,20)</f>
        <v>0.228420938881299</v>
      </c>
      <c r="E7" s="25" t="n">
        <f aca="false">INDEX(E71:E119,20)</f>
        <v>0.397131421821244</v>
      </c>
      <c r="F7" s="25" t="n">
        <f aca="false">INDEX(F71:F119,20)</f>
        <v>0.567911372921329</v>
      </c>
      <c r="H7" s="3"/>
    </row>
    <row r="8" customFormat="false" ht="15" hidden="false" customHeight="false" outlineLevel="0" collapsed="false">
      <c r="A8" s="6" t="s">
        <v>234</v>
      </c>
      <c r="B8" s="28" t="n">
        <f aca="false">IFERROR(MATCH(TRUE(),INDEX(B71:B119&lt;=0.5,0),0),"beyond")</f>
        <v>9</v>
      </c>
      <c r="C8" s="28" t="n">
        <f aca="false">IFERROR(MATCH(TRUE(),INDEX(C71:C119&lt;=0.5,0),0),"beyond")</f>
        <v>11</v>
      </c>
      <c r="D8" s="28" t="n">
        <f aca="false">IFERROR(MATCH(TRUE(),INDEX(D71:D119&lt;=0.5,0),0),"beyond")</f>
        <v>14</v>
      </c>
      <c r="E8" s="28" t="n">
        <f aca="false">IFERROR(MATCH(TRUE(),INDEX(E71:E119&lt;=0.5,0),0),"beyond")</f>
        <v>17</v>
      </c>
      <c r="F8" s="28" t="n">
        <f aca="false">IFERROR(MATCH(TRUE(),INDEX(F71:F119&lt;=0.5,0),0),"beyond")</f>
        <v>23</v>
      </c>
      <c r="H8" s="3"/>
    </row>
    <row r="9" customFormat="false" ht="15" hidden="false" customHeight="false" outlineLevel="0" collapsed="false">
      <c r="A9" s="6" t="s">
        <v>235</v>
      </c>
      <c r="B9" s="28" t="n">
        <f aca="false">IFERROR(MATCH(TRUE(),INDEX(B71:B119&lt;=0.1,0),0),"beyond")</f>
        <v>15</v>
      </c>
      <c r="C9" s="28" t="n">
        <f aca="false">IFERROR(MATCH(TRUE(),INDEX(C71:C119&lt;=0.1,0),0),"beyond")</f>
        <v>19</v>
      </c>
      <c r="D9" s="28" t="n">
        <f aca="false">IFERROR(MATCH(TRUE(),INDEX(D71:D119&lt;=0.1,0),0),"beyond")</f>
        <v>24</v>
      </c>
      <c r="E9" s="28" t="n">
        <f aca="false">IFERROR(MATCH(TRUE(),INDEX(E71:E119&lt;=0.1,0),0),"beyond")</f>
        <v>29</v>
      </c>
      <c r="F9" s="28" t="n">
        <f aca="false">IFERROR(MATCH(TRUE(),INDEX(F71:F119&lt;=0.1,0),0),"beyond")</f>
        <v>39</v>
      </c>
      <c r="H9" s="3"/>
    </row>
    <row r="10" customFormat="false" ht="15" hidden="false" customHeight="false" outlineLevel="0" collapsed="false">
      <c r="A10" s="20" t="s">
        <v>257</v>
      </c>
      <c r="B10" s="39" t="str">
        <f aca="false">IF(AND(ABS(B6-0.6)&lt;=0.05,B7&lt;=0.15),"yes","no")</f>
        <v>no</v>
      </c>
      <c r="C10" s="39" t="str">
        <f aca="false">IF(AND(ABS(C6-0.6)&lt;=0.05,C7&lt;=0.15),"yes","no")</f>
        <v>yes</v>
      </c>
      <c r="D10" s="39" t="str">
        <f aca="false">IF(AND(ABS(D6-0.6)&lt;=0.05,D7&lt;=0.15),"yes","no")</f>
        <v>no</v>
      </c>
      <c r="E10" s="39" t="str">
        <f aca="false">IF(AND(ABS(E6-0.6)&lt;=0.05,E7&lt;=0.15),"yes","no")</f>
        <v>no</v>
      </c>
      <c r="F10" s="39" t="str">
        <f aca="false">IF(AND(ABS(F6-0.6)&lt;=0.05,F7&lt;=0.15),"yes","no")</f>
        <v>no</v>
      </c>
      <c r="H10" s="3"/>
    </row>
    <row r="11" customFormat="false" ht="15" hidden="false" customHeight="false" outlineLevel="0" collapsed="false">
      <c r="H11" s="3"/>
    </row>
    <row r="12" customFormat="false" ht="15" hidden="false" customHeight="false" outlineLevel="0" collapsed="false">
      <c r="A12" s="5" t="s">
        <v>258</v>
      </c>
      <c r="H12" s="3"/>
    </row>
    <row r="13" customFormat="false" ht="27.75" hidden="false" customHeight="true" outlineLevel="0" collapsed="false">
      <c r="A13" s="13" t="s">
        <v>205</v>
      </c>
      <c r="B13" s="14" t="s">
        <v>259</v>
      </c>
      <c r="C13" s="14" t="s">
        <v>260</v>
      </c>
      <c r="D13" s="14" t="s">
        <v>261</v>
      </c>
      <c r="E13" s="14" t="s">
        <v>262</v>
      </c>
      <c r="F13" s="14" t="s">
        <v>263</v>
      </c>
      <c r="H13" s="3"/>
    </row>
    <row r="14" customFormat="false" ht="15" hidden="false" customHeight="false" outlineLevel="0" collapsed="false">
      <c r="A14" s="45" t="n">
        <v>1</v>
      </c>
      <c r="B14" s="55" t="n">
        <f aca="false">IF($A14&gt;=B$4,0,(1-(1+'Stressed case'!$B$18)^-(B$4-$A14))/(1-(1+'Stressed case'!$B$18)^-B$4))</f>
        <v>0.950404728177062</v>
      </c>
      <c r="C14" s="55" t="n">
        <f aca="false">IF($A14&gt;=C$4,0,(1-(1+'Stressed case'!$B$18)^-(C$4-$A14))/(1-(1+'Stressed case'!$B$18)^-C$4))</f>
        <v>0.964299064144698</v>
      </c>
      <c r="D14" s="55" t="n">
        <f aca="false">IF($A14&gt;=D$4,0,(1-(1+'Stressed case'!$B$18)^-(D$4-$A14))/(1-(1+'Stressed case'!$B$18)^-D$4))</f>
        <v>0.97366965397355</v>
      </c>
      <c r="E14" s="55" t="n">
        <f aca="false">IF($A14&gt;=E$4,0,(1-(1+'Stressed case'!$B$18)^-(E$4-$A14))/(1-(1+'Stressed case'!$B$18)^-E$4))</f>
        <v>0.980847612238923</v>
      </c>
      <c r="F14" s="55" t="n">
        <f aca="false">IF($A14&gt;=F$4,0,(1-(1+'Stressed case'!$B$18)^-(F$4-$A14))/(1-(1+'Stressed case'!$B$18)^-F$4))</f>
        <v>0.988113618121883</v>
      </c>
      <c r="H14" s="3"/>
    </row>
    <row r="15" customFormat="false" ht="15" hidden="false" customHeight="false" outlineLevel="0" collapsed="false">
      <c r="A15" s="30" t="n">
        <v>2</v>
      </c>
      <c r="B15" s="54" t="n">
        <f aca="false">IF($A15&gt;=B$4,0,(1-(1+'Stressed case'!$B$18)^-(B$4-$A15))/(1-(1+'Stressed case'!$B$18)^-B$4))</f>
        <v>0.90015645194179</v>
      </c>
      <c r="C15" s="54" t="n">
        <f aca="false">IF($A15&gt;=C$4,0,(1-(1+'Stressed case'!$B$18)^-(C$4-$A15))/(1-(1+'Stressed case'!$B$18)^-C$4))</f>
        <v>0.928128065967301</v>
      </c>
      <c r="D15" s="54" t="n">
        <f aca="false">IF($A15&gt;=D$4,0,(1-(1+'Stressed case'!$B$18)^-(D$4-$A15))/(1-(1+'Stressed case'!$B$18)^-D$4))</f>
        <v>0.946992625057753</v>
      </c>
      <c r="E15" s="54" t="n">
        <f aca="false">IF($A15&gt;=E$4,0,(1-(1+'Stressed case'!$B$18)^-(E$4-$A15))/(1-(1+'Stressed case'!$B$18)^-E$4))</f>
        <v>0.961443051372324</v>
      </c>
      <c r="F15" s="54" t="n">
        <f aca="false">IF($A15&gt;=F$4,0,(1-(1+'Stressed case'!$B$18)^-(F$4-$A15))/(1-(1+'Stressed case'!$B$18)^-F$4))</f>
        <v>0.976070732215704</v>
      </c>
      <c r="H15" s="3"/>
    </row>
    <row r="16" customFormat="false" ht="15" hidden="false" customHeight="false" outlineLevel="0" collapsed="false">
      <c r="A16" s="45" t="n">
        <v>3</v>
      </c>
      <c r="B16" s="55" t="n">
        <f aca="false">IF($A16&gt;=B$4,0,(1-(1+'Stressed case'!$B$18)^-(B$4-$A16))/(1-(1+'Stressed case'!$B$18)^-B$4))</f>
        <v>0.849246573402752</v>
      </c>
      <c r="C16" s="55" t="n">
        <f aca="false">IF($A16&gt;=C$4,0,(1-(1+'Stressed case'!$B$18)^-(C$4-$A16))/(1-(1+'Stressed case'!$B$18)^-C$4))</f>
        <v>0.891480816313901</v>
      </c>
      <c r="D16" s="55" t="n">
        <f aca="false">IF($A16&gt;=D$4,0,(1-(1+'Stressed case'!$B$18)^-(D$4-$A16))/(1-(1+'Stressed case'!$B$18)^-D$4))</f>
        <v>0.919964348594564</v>
      </c>
      <c r="E16" s="55" t="n">
        <f aca="false">IF($A16&gt;=E$4,0,(1-(1+'Stressed case'!$B$18)^-(E$4-$A16))/(1-(1+'Stressed case'!$B$18)^-E$4))</f>
        <v>0.941782997120983</v>
      </c>
      <c r="F16" s="55" t="n">
        <f aca="false">IF($A16&gt;=F$4,0,(1-(1+'Stressed case'!$B$18)^-(F$4-$A16))/(1-(1+'Stressed case'!$B$18)^-F$4))</f>
        <v>0.963869281645094</v>
      </c>
      <c r="H16" s="3"/>
    </row>
    <row r="17" customFormat="false" ht="15" hidden="false" customHeight="false" outlineLevel="0" collapsed="false">
      <c r="A17" s="30" t="n">
        <v>4</v>
      </c>
      <c r="B17" s="54" t="n">
        <f aca="false">IF($A17&gt;=B$4,0,(1-(1+'Stressed case'!$B$18)^-(B$4-$A17))/(1-(1+'Stressed case'!$B$18)^-B$4))</f>
        <v>0.797666381462951</v>
      </c>
      <c r="C17" s="54" t="n">
        <f aca="false">IF($A17&gt;=C$4,0,(1-(1+'Stressed case'!$B$18)^-(C$4-$A17))/(1-(1+'Stressed case'!$B$18)^-C$4))</f>
        <v>0.854351044540065</v>
      </c>
      <c r="D17" s="54" t="n">
        <f aca="false">IF($A17&gt;=D$4,0,(1-(1+'Stressed case'!$B$18)^-(D$4-$A17))/(1-(1+'Stressed case'!$B$18)^-D$4))</f>
        <v>0.89258019982461</v>
      </c>
      <c r="E17" s="54" t="n">
        <f aca="false">IF($A17&gt;=E$4,0,(1-(1+'Stressed case'!$B$18)^-(E$4-$A17))/(1-(1+'Stressed case'!$B$18)^-E$4))</f>
        <v>0.921864085488665</v>
      </c>
      <c r="F17" s="54" t="n">
        <f aca="false">IF($A17&gt;=F$4,0,(1-(1+'Stressed case'!$B$18)^-(F$4-$A17))/(1-(1+'Stressed case'!$B$18)^-F$4))</f>
        <v>0.95150717864197</v>
      </c>
      <c r="H17" s="3"/>
    </row>
    <row r="18" customFormat="false" ht="15" hidden="false" customHeight="false" outlineLevel="0" collapsed="false">
      <c r="A18" s="45" t="n">
        <v>5</v>
      </c>
      <c r="B18" s="55" t="n">
        <f aca="false">IF($A18&gt;=B$4,0,(1-(1+'Stressed case'!$B$18)^-(B$4-$A18))/(1-(1+'Stressed case'!$B$18)^-B$4))</f>
        <v>0.745407050329275</v>
      </c>
      <c r="C18" s="55" t="n">
        <f aca="false">IF($A18&gt;=C$4,0,(1-(1+'Stressed case'!$B$18)^-(C$4-$A18))/(1-(1+'Stressed case'!$B$18)^-C$4))</f>
        <v>0.816732397437874</v>
      </c>
      <c r="D18" s="55" t="n">
        <f aca="false">IF($A18&gt;=D$4,0,(1-(1+'Stressed case'!$B$18)^-(D$4-$A18))/(1-(1+'Stressed case'!$B$18)^-D$4))</f>
        <v>0.864835493095851</v>
      </c>
      <c r="E18" s="55" t="n">
        <f aca="false">IF($A18&gt;=E$4,0,(1-(1+'Stressed case'!$B$18)^-(E$4-$A18))/(1-(1+'Stressed case'!$B$18)^-E$4))</f>
        <v>0.901682908186522</v>
      </c>
      <c r="F18" s="55" t="n">
        <f aca="false">IF($A18&gt;=F$4,0,(1-(1+'Stressed case'!$B$18)^-(F$4-$A18))/(1-(1+'Stressed case'!$B$18)^-F$4))</f>
        <v>0.938982307949306</v>
      </c>
      <c r="H18" s="3"/>
    </row>
    <row r="19" customFormat="false" ht="15" hidden="false" customHeight="false" outlineLevel="0" collapsed="false">
      <c r="A19" s="30" t="n">
        <v>6</v>
      </c>
      <c r="B19" s="54" t="n">
        <f aca="false">IF($A19&gt;=B$4,0,(1-(1+'Stressed case'!$B$18)^-(B$4-$A19))/(1-(1+'Stressed case'!$B$18)^-B$4))</f>
        <v>0.69245963800234</v>
      </c>
      <c r="C19" s="54" t="n">
        <f aca="false">IF($A19&gt;=C$4,0,(1-(1+'Stressed case'!$B$18)^-(C$4-$A19))/(1-(1+'Stressed case'!$B$18)^-C$4))</f>
        <v>0.778618438148837</v>
      </c>
      <c r="D19" s="54" t="n">
        <f aca="false">IF($A19&gt;=D$4,0,(1-(1+'Stressed case'!$B$18)^-(D$4-$A19))/(1-(1+'Stressed case'!$B$18)^-D$4))</f>
        <v>0.83672548106183</v>
      </c>
      <c r="E19" s="54" t="n">
        <f aca="false">IF($A19&gt;=E$4,0,(1-(1+'Stressed case'!$B$18)^-(E$4-$A19))/(1-(1+'Stressed case'!$B$18)^-E$4))</f>
        <v>0.8812360120499</v>
      </c>
      <c r="F19" s="54" t="n">
        <f aca="false">IF($A19&gt;=F$4,0,(1-(1+'Stressed case'!$B$18)^-(F$4-$A19))/(1-(1+'Stressed case'!$B$18)^-F$4))</f>
        <v>0.926292526459188</v>
      </c>
      <c r="H19" s="3"/>
    </row>
    <row r="20" customFormat="false" ht="15" hidden="false" customHeight="false" outlineLevel="0" collapsed="false">
      <c r="A20" s="45" t="n">
        <v>7</v>
      </c>
      <c r="B20" s="55" t="n">
        <f aca="false">IF($A20&gt;=B$4,0,(1-(1+'Stressed case'!$B$18)^-(B$4-$A20))/(1-(1+'Stressed case'!$B$18)^-B$4))</f>
        <v>0.638815084746433</v>
      </c>
      <c r="C20" s="55" t="n">
        <f aca="false">IF($A20&gt;=C$4,0,(1-(1+'Stressed case'!$B$18)^-(C$4-$A20))/(1-(1+'Stressed case'!$B$18)^-C$4))</f>
        <v>0.740002645062494</v>
      </c>
      <c r="D20" s="55" t="n">
        <f aca="false">IF($A20&gt;=D$4,0,(1-(1+'Stressed case'!$B$18)^-(D$4-$A20))/(1-(1+'Stressed case'!$B$18)^-D$4))</f>
        <v>0.808245353869361</v>
      </c>
      <c r="E20" s="55" t="n">
        <f aca="false">IF($A20&gt;=E$4,0,(1-(1+'Stressed case'!$B$18)^-(E$4-$A20))/(1-(1+'Stressed case'!$B$18)^-E$4))</f>
        <v>0.86051989844748</v>
      </c>
      <c r="F20" s="55" t="n">
        <f aca="false">IF($A20&gt;=F$4,0,(1-(1+'Stressed case'!$B$18)^-(F$4-$A20))/(1-(1+'Stressed case'!$B$18)^-F$4))</f>
        <v>0.913435662846117</v>
      </c>
      <c r="H20" s="3"/>
    </row>
    <row r="21" customFormat="false" ht="15" hidden="false" customHeight="false" outlineLevel="0" collapsed="false">
      <c r="A21" s="30" t="n">
        <v>8</v>
      </c>
      <c r="B21" s="54" t="n">
        <f aca="false">IF($A21&gt;=B$4,0,(1-(1+'Stressed case'!$B$18)^-(B$4-$A21))/(1-(1+'Stressed case'!$B$18)^-B$4))</f>
        <v>0.584464211539324</v>
      </c>
      <c r="C21" s="54" t="n">
        <f aca="false">IF($A21&gt;=C$4,0,(1-(1+'Stressed case'!$B$18)^-(C$4-$A21))/(1-(1+'Stressed case'!$B$18)^-C$4))</f>
        <v>0.700878410700515</v>
      </c>
      <c r="D21" s="54" t="n">
        <f aca="false">IF($A21&gt;=D$4,0,(1-(1+'Stressed case'!$B$18)^-(D$4-$A21))/(1-(1+'Stressed case'!$B$18)^-D$4))</f>
        <v>0.779390238335525</v>
      </c>
      <c r="E21" s="54" t="n">
        <f aca="false">IF($A21&gt;=E$4,0,(1-(1+'Stressed case'!$B$18)^-(E$4-$A21))/(1-(1+'Stressed case'!$B$18)^-E$4))</f>
        <v>0.839531022682628</v>
      </c>
      <c r="F21" s="54" t="n">
        <f aca="false">IF($A21&gt;=F$4,0,(1-(1+'Stressed case'!$B$18)^-(F$4-$A21))/(1-(1+'Stressed case'!$B$18)^-F$4))</f>
        <v>0.900409517195474</v>
      </c>
      <c r="H21" s="3"/>
    </row>
    <row r="22" customFormat="false" ht="15" hidden="false" customHeight="false" outlineLevel="0" collapsed="false">
      <c r="A22" s="45" t="n">
        <v>9</v>
      </c>
      <c r="B22" s="55" t="n">
        <f aca="false">IF($A22&gt;=B$4,0,(1-(1+'Stressed case'!$B$18)^-(B$4-$A22))/(1-(1+'Stressed case'!$B$18)^-B$4))</f>
        <v>0.529397718501654</v>
      </c>
      <c r="C22" s="55" t="n">
        <f aca="false">IF($A22&gt;=C$4,0,(1-(1+'Stressed case'!$B$18)^-(C$4-$A22))/(1-(1+'Stressed case'!$B$18)^-C$4))</f>
        <v>0.661239040586102</v>
      </c>
      <c r="D22" s="55" t="n">
        <f aca="false">IF($A22&gt;=D$4,0,(1-(1+'Stressed case'!$B$18)^-(D$4-$A22))/(1-(1+'Stressed case'!$B$18)^-D$4))</f>
        <v>0.750155197113827</v>
      </c>
      <c r="E22" s="55" t="n">
        <f aca="false">IF($A22&gt;=E$4,0,(1-(1+'Stressed case'!$B$18)^-(E$4-$A22))/(1-(1+'Stressed case'!$B$18)^-E$4))</f>
        <v>0.818265793386872</v>
      </c>
      <c r="F22" s="55" t="n">
        <f aca="false">IF($A22&gt;=F$4,0,(1-(1+'Stressed case'!$B$18)^-(F$4-$A22))/(1-(1+'Stressed case'!$B$18)^-F$4))</f>
        <v>0.887211860627097</v>
      </c>
      <c r="H22" s="3"/>
    </row>
    <row r="23" customFormat="false" ht="15" hidden="false" customHeight="false" outlineLevel="0" collapsed="false">
      <c r="A23" s="30" t="n">
        <v>10</v>
      </c>
      <c r="B23" s="54" t="n">
        <f aca="false">IF($A23&gt;=B$4,0,(1-(1+'Stressed case'!$B$18)^-(B$4-$A23))/(1-(1+'Stressed case'!$B$18)^-B$4))</f>
        <v>0.473606183305654</v>
      </c>
      <c r="C23" s="54" t="n">
        <f aca="false">IF($A23&gt;=C$4,0,(1-(1+'Stressed case'!$B$18)^-(C$4-$A23))/(1-(1+'Stressed case'!$B$18)^-C$4))</f>
        <v>0.621077752098517</v>
      </c>
      <c r="D23" s="54" t="n">
        <f aca="false">IF($A23&gt;=D$4,0,(1-(1+'Stressed case'!$B$18)^-(D$4-$A23))/(1-(1+'Stressed case'!$B$18)^-D$4))</f>
        <v>0.720535227849376</v>
      </c>
      <c r="E23" s="54" t="n">
        <f aca="false">IF($A23&gt;=E$4,0,(1-(1+'Stressed case'!$B$18)^-(E$4-$A23))/(1-(1+'Stressed case'!$B$18)^-E$4))</f>
        <v>0.796720571905388</v>
      </c>
      <c r="F23" s="54" t="n">
        <f aca="false">IF($A23&gt;=F$4,0,(1-(1+'Stressed case'!$B$18)^-(F$4-$A23))/(1-(1+'Stressed case'!$B$18)^-F$4))</f>
        <v>0.873840434913904</v>
      </c>
      <c r="H23" s="3"/>
    </row>
    <row r="24" customFormat="false" ht="15" hidden="false" customHeight="false" outlineLevel="0" collapsed="false">
      <c r="A24" s="45" t="n">
        <v>11</v>
      </c>
      <c r="B24" s="55" t="n">
        <f aca="false">IF($A24&gt;=B$4,0,(1-(1+'Stressed case'!$B$18)^-(B$4-$A24))/(1-(1+'Stressed case'!$B$18)^-B$4))</f>
        <v>0.417080059562908</v>
      </c>
      <c r="C24" s="55" t="n">
        <f aca="false">IF($A24&gt;=C$4,0,(1-(1+'Stressed case'!$B$18)^-(C$4-$A24))/(1-(1+'Stressed case'!$B$18)^-C$4))</f>
        <v>0.580387673312512</v>
      </c>
      <c r="D24" s="55" t="n">
        <f aca="false">IF($A24&gt;=D$4,0,(1-(1+'Stressed case'!$B$18)^-(D$4-$A24))/(1-(1+'Stressed case'!$B$18)^-D$4))</f>
        <v>0.690525262322943</v>
      </c>
      <c r="E24" s="55" t="n">
        <f aca="false">IF($A24&gt;=E$4,0,(1-(1+'Stressed case'!$B$18)^-(E$4-$A24))/(1-(1+'Stressed case'!$B$18)^-E$4))</f>
        <v>0.774891671674399</v>
      </c>
      <c r="F24" s="55" t="n">
        <f aca="false">IF($A24&gt;=F$4,0,(1-(1+'Stressed case'!$B$18)^-(F$4-$A24))/(1-(1+'Stressed case'!$B$18)^-F$4))</f>
        <v>0.860292952095486</v>
      </c>
      <c r="H24" s="3"/>
    </row>
    <row r="25" customFormat="false" ht="15" hidden="false" customHeight="false" outlineLevel="0" collapsed="false">
      <c r="A25" s="30" t="n">
        <v>12</v>
      </c>
      <c r="B25" s="54" t="n">
        <f aca="false">IF($A25&gt;=B$4,0,(1-(1+'Stressed case'!$B$18)^-(B$4-$A25))/(1-(1+'Stressed case'!$B$18)^-B$4))</f>
        <v>0.359809675190882</v>
      </c>
      <c r="C25" s="54" t="n">
        <f aca="false">IF($A25&gt;=C$4,0,(1-(1+'Stressed case'!$B$18)^-(C$4-$A25))/(1-(1+'Stressed case'!$B$18)^-C$4))</f>
        <v>0.539161841822491</v>
      </c>
      <c r="D25" s="54" t="n">
        <f aca="false">IF($A25&gt;=D$4,0,(1-(1+'Stressed case'!$B$18)^-(D$4-$A25))/(1-(1+'Stressed case'!$B$18)^-D$4))</f>
        <v>0.660120165583746</v>
      </c>
      <c r="E25" s="54" t="n">
        <f aca="false">IF($A25&gt;=E$4,0,(1-(1+'Stressed case'!$B$18)^-(E$4-$A25))/(1-(1+'Stressed case'!$B$18)^-E$4))</f>
        <v>0.752775357590368</v>
      </c>
      <c r="F25" s="54" t="n">
        <f aca="false">IF($A25&gt;=F$4,0,(1-(1+'Stressed case'!$B$18)^-(F$4-$A25))/(1-(1+'Stressed case'!$B$18)^-F$4))</f>
        <v>0.846567094086626</v>
      </c>
      <c r="H25" s="3"/>
    </row>
    <row r="26" customFormat="false" ht="15" hidden="false" customHeight="false" outlineLevel="0" collapsed="false">
      <c r="A26" s="45" t="n">
        <v>13</v>
      </c>
      <c r="B26" s="55" t="n">
        <f aca="false">IF($A26&gt;=B$4,0,(1-(1+'Stressed case'!$B$18)^-(B$4-$A26))/(1-(1+'Stressed case'!$B$18)^-B$4))</f>
        <v>0.301785230757957</v>
      </c>
      <c r="C26" s="55" t="n">
        <f aca="false">IF($A26&gt;=C$4,0,(1-(1+'Stressed case'!$B$18)^-(C$4-$A26))/(1-(1+'Stressed case'!$B$18)^-C$4))</f>
        <v>0.497393203551184</v>
      </c>
      <c r="D26" s="55" t="n">
        <f aca="false">IF($A26&gt;=D$4,0,(1-(1+'Stressed case'!$B$18)^-(D$4-$A26))/(1-(1+'Stressed case'!$B$18)^-D$4))</f>
        <v>0.629314735070816</v>
      </c>
      <c r="E26" s="55" t="n">
        <f aca="false">IF($A26&gt;=E$4,0,(1-(1+'Stressed case'!$B$18)^-(E$4-$A26))/(1-(1+'Stressed case'!$B$18)^-E$4))</f>
        <v>0.730367845370897</v>
      </c>
      <c r="F26" s="55" t="n">
        <f aca="false">IF($A26&gt;=F$4,0,(1-(1+'Stressed case'!$B$18)^-(F$4-$A26))/(1-(1+'Stressed case'!$B$18)^-F$4))</f>
        <v>0.83266051228065</v>
      </c>
      <c r="H26" s="3"/>
    </row>
    <row r="27" customFormat="false" ht="15" hidden="false" customHeight="false" outlineLevel="0" collapsed="false">
      <c r="A27" s="30" t="n">
        <v>14</v>
      </c>
      <c r="B27" s="54" t="n">
        <f aca="false">IF($A27&gt;=B$4,0,(1-(1+'Stressed case'!$B$18)^-(B$4-$A27))/(1-(1+'Stressed case'!$B$18)^-B$4))</f>
        <v>0.242996797806666</v>
      </c>
      <c r="C27" s="54" t="n">
        <f aca="false">IF($A27&gt;=C$4,0,(1-(1+'Stressed case'!$B$18)^-(C$4-$A27))/(1-(1+'Stressed case'!$B$18)^-C$4))</f>
        <v>0.45507461154264</v>
      </c>
      <c r="D27" s="54" t="n">
        <f aca="false">IF($A27&gt;=D$4,0,(1-(1+'Stressed case'!$B$18)^-(D$4-$A27))/(1-(1+'Stressed case'!$B$18)^-D$4))</f>
        <v>0.598103699722799</v>
      </c>
      <c r="E27" s="54" t="n">
        <f aca="false">IF($A27&gt;=E$4,0,(1-(1+'Stressed case'!$B$18)^-(E$4-$A27))/(1-(1+'Stressed case'!$B$18)^-E$4))</f>
        <v>0.707665300907203</v>
      </c>
      <c r="F27" s="54" t="n">
        <f aca="false">IF($A27&gt;=F$4,0,(1-(1+'Stressed case'!$B$18)^-(F$4-$A27))/(1-(1+'Stressed case'!$B$18)^-F$4))</f>
        <v>0.818570827147561</v>
      </c>
      <c r="H27" s="3"/>
    </row>
    <row r="28" customFormat="false" ht="15" hidden="false" customHeight="false" outlineLevel="0" collapsed="false">
      <c r="A28" s="45" t="n">
        <v>15</v>
      </c>
      <c r="B28" s="55" t="n">
        <f aca="false">IF($A28&gt;=B$4,0,(1-(1+'Stressed case'!$B$18)^-(B$4-$A28))/(1-(1+'Stressed case'!$B$18)^-B$4))</f>
        <v>0.18343431715485</v>
      </c>
      <c r="C28" s="55" t="n">
        <f aca="false">IF($A28&gt;=C$4,0,(1-(1+'Stressed case'!$B$18)^-(C$4-$A28))/(1-(1+'Stressed case'!$B$18)^-C$4))</f>
        <v>0.412198824739315</v>
      </c>
      <c r="D28" s="55" t="n">
        <f aca="false">IF($A28&gt;=D$4,0,(1-(1+'Stressed case'!$B$18)^-(D$4-$A28))/(1-(1+'Stressed case'!$B$18)^-D$4))</f>
        <v>0.566481719076033</v>
      </c>
      <c r="E28" s="55" t="n">
        <f aca="false">IF($A28&gt;=E$4,0,(1-(1+'Stressed case'!$B$18)^-(E$4-$A28))/(1-(1+'Stressed case'!$B$18)^-E$4))</f>
        <v>0.68466383960807</v>
      </c>
      <c r="F28" s="55" t="n">
        <f aca="false">IF($A28&gt;=F$4,0,(1-(1+'Stressed case'!$B$18)^-(F$4-$A28))/(1-(1+'Stressed case'!$B$18)^-F$4))</f>
        <v>0.804295627826887</v>
      </c>
      <c r="H28" s="3"/>
    </row>
    <row r="29" customFormat="false" ht="15" hidden="false" customHeight="false" outlineLevel="0" collapsed="false">
      <c r="A29" s="30" t="n">
        <v>16</v>
      </c>
      <c r="B29" s="54" t="n">
        <f aca="false">IF($A29&gt;=B$4,0,(1-(1+'Stressed case'!$B$18)^-(B$4-$A29))/(1-(1+'Stressed case'!$B$18)^-B$4))</f>
        <v>0.123087597174451</v>
      </c>
      <c r="C29" s="54" t="n">
        <f aca="false">IF($A29&gt;=C$4,0,(1-(1+'Stressed case'!$B$18)^-(C$4-$A29))/(1-(1+'Stressed case'!$B$18)^-C$4))</f>
        <v>0.36875850674308</v>
      </c>
      <c r="D29" s="54" t="n">
        <f aca="false">IF($A29&gt;=D$4,0,(1-(1+'Stressed case'!$B$18)^-(D$4-$A29))/(1-(1+'Stressed case'!$B$18)^-D$4))</f>
        <v>0.534443382350751</v>
      </c>
      <c r="E29" s="54" t="n">
        <f aca="false">IF($A29&gt;=E$4,0,(1-(1+'Stressed case'!$B$18)^-(E$4-$A29))/(1-(1+'Stressed case'!$B$18)^-E$4))</f>
        <v>0.661359525735166</v>
      </c>
      <c r="F29" s="54" t="n">
        <f aca="false">IF($A29&gt;=F$4,0,(1-(1+'Stressed case'!$B$18)^-(F$4-$A29))/(1-(1+'Stressed case'!$B$18)^-F$4))</f>
        <v>0.789832471715158</v>
      </c>
      <c r="H29" s="3"/>
    </row>
    <row r="30" customFormat="false" ht="15" hidden="false" customHeight="false" outlineLevel="0" collapsed="false">
      <c r="A30" s="45" t="n">
        <v>17</v>
      </c>
      <c r="B30" s="55" t="n">
        <f aca="false">IF($A30&gt;=B$4,0,(1-(1+'Stressed case'!$B$18)^-(B$4-$A30))/(1-(1+'Stressed case'!$B$18)^-B$4))</f>
        <v>0.0619463120476435</v>
      </c>
      <c r="C30" s="55" t="n">
        <f aca="false">IF($A30&gt;=C$4,0,(1-(1+'Stressed case'!$B$18)^-(C$4-$A30))/(1-(1+'Stressed case'!$B$18)^-C$4))</f>
        <v>0.324746224559895</v>
      </c>
      <c r="D30" s="55" t="n">
        <f aca="false">IF($A30&gt;=D$4,0,(1-(1+'Stressed case'!$B$18)^-(D$4-$A30))/(1-(1+'Stressed case'!$B$18)^-D$4))</f>
        <v>0.501983207525253</v>
      </c>
      <c r="E30" s="55" t="n">
        <f aca="false">IF($A30&gt;=E$4,0,(1-(1+'Stressed case'!$B$18)^-(E$4-$A30))/(1-(1+'Stressed case'!$B$18)^-E$4))</f>
        <v>0.637748371729602</v>
      </c>
      <c r="F30" s="55" t="n">
        <f aca="false">IF($A30&gt;=F$4,0,(1-(1+'Stressed case'!$B$18)^-(F$4-$A30))/(1-(1+'Stressed case'!$B$18)^-F$4))</f>
        <v>0.775178884047957</v>
      </c>
      <c r="H30" s="3"/>
    </row>
    <row r="31" customFormat="false" ht="15" hidden="false" customHeight="false" outlineLevel="0" collapsed="false">
      <c r="A31" s="30" t="n">
        <v>18</v>
      </c>
      <c r="B31" s="54" t="n">
        <f aca="false">IF($A31&gt;=B$4,0,(1-(1+'Stressed case'!$B$18)^-(B$4-$A31))/(1-(1+'Stressed case'!$B$18)^-B$4))</f>
        <v>0</v>
      </c>
      <c r="C31" s="54" t="n">
        <f aca="false">IF($A31&gt;=C$4,0,(1-(1+'Stressed case'!$B$18)^-(C$4-$A31))/(1-(1+'Stressed case'!$B$18)^-C$4))</f>
        <v>0.280154447327965</v>
      </c>
      <c r="D31" s="54" t="n">
        <f aca="false">IF($A31&gt;=D$4,0,(1-(1+'Stressed case'!$B$18)^-(D$4-$A31))/(1-(1+'Stressed case'!$B$18)^-D$4))</f>
        <v>0.469095640397886</v>
      </c>
      <c r="E31" s="54" t="n">
        <f aca="false">IF($A31&gt;=E$4,0,(1-(1+'Stressed case'!$B$18)^-(E$4-$A31))/(1-(1+'Stressed case'!$B$18)^-E$4))</f>
        <v>0.613826337529631</v>
      </c>
      <c r="F31" s="54" t="n">
        <f aca="false">IF($A31&gt;=F$4,0,(1-(1+'Stressed case'!$B$18)^-(F$4-$A31))/(1-(1+'Stressed case'!$B$18)^-F$4))</f>
        <v>0.760332357476471</v>
      </c>
      <c r="H31" s="3"/>
    </row>
    <row r="32" customFormat="false" ht="15" hidden="false" customHeight="false" outlineLevel="0" collapsed="false">
      <c r="A32" s="45" t="n">
        <v>19</v>
      </c>
      <c r="B32" s="55" t="n">
        <f aca="false">IF($A32&gt;=B$4,0,(1-(1+'Stressed case'!$B$18)^-(B$4-$A32))/(1-(1+'Stressed case'!$B$18)^-B$4))</f>
        <v>0</v>
      </c>
      <c r="C32" s="55" t="n">
        <f aca="false">IF($A32&gt;=C$4,0,(1-(1+'Stressed case'!$B$18)^-(C$4-$A32))/(1-(1+'Stressed case'!$B$18)^-C$4))</f>
        <v>0.234975545029147</v>
      </c>
      <c r="D32" s="55" t="n">
        <f aca="false">IF($A32&gt;=D$4,0,(1-(1+'Stressed case'!$B$18)^-(D$4-$A32))/(1-(1+'Stressed case'!$B$18)^-D$4))</f>
        <v>0.435775053636675</v>
      </c>
      <c r="E32" s="55" t="n">
        <f aca="false">IF($A32&gt;=E$4,0,(1-(1+'Stressed case'!$B$18)^-(E$4-$A32))/(1-(1+'Stressed case'!$B$18)^-E$4))</f>
        <v>0.58958932987936</v>
      </c>
      <c r="F32" s="55" t="n">
        <f aca="false">IF($A32&gt;=F$4,0,(1-(1+'Stressed case'!$B$18)^-(F$4-$A32))/(1-(1+'Stressed case'!$B$18)^-F$4))</f>
        <v>0.745290351638461</v>
      </c>
      <c r="H32" s="3"/>
    </row>
    <row r="33" customFormat="false" ht="15" hidden="false" customHeight="false" outlineLevel="0" collapsed="false">
      <c r="A33" s="30" t="n">
        <v>20</v>
      </c>
      <c r="B33" s="54" t="n">
        <f aca="false">IF($A33&gt;=B$4,0,(1-(1+'Stressed case'!$B$18)^-(B$4-$A33))/(1-(1+'Stressed case'!$B$18)^-B$4))</f>
        <v>0</v>
      </c>
      <c r="C33" s="54" t="n">
        <f aca="false">IF($A33&gt;=C$4,0,(1-(1+'Stressed case'!$B$18)^-(C$4-$A33))/(1-(1+'Stressed case'!$B$18)^-C$4))</f>
        <v>0.189201787183395</v>
      </c>
      <c r="D33" s="54" t="n">
        <f aca="false">IF($A33&gt;=D$4,0,(1-(1+'Stressed case'!$B$18)^-(D$4-$A33))/(1-(1+'Stressed case'!$B$18)^-D$4))</f>
        <v>0.402015745816442</v>
      </c>
      <c r="E33" s="54" t="n">
        <f aca="false">IF($A33&gt;=E$4,0,(1-(1+'Stressed case'!$B$18)^-(E$4-$A33))/(1-(1+'Stressed case'!$B$18)^-E$4))</f>
        <v>0.565033201628361</v>
      </c>
      <c r="F33" s="54" t="n">
        <f aca="false">IF($A33&gt;=F$4,0,(1-(1+'Stressed case'!$B$18)^-(F$4-$A33))/(1-(1+'Stressed case'!$B$18)^-F$4))</f>
        <v>0.730050292723584</v>
      </c>
      <c r="H33" s="3"/>
    </row>
    <row r="34" customFormat="false" ht="15" hidden="false" customHeight="false" outlineLevel="0" collapsed="false">
      <c r="A34" s="45" t="n">
        <v>21</v>
      </c>
      <c r="B34" s="55" t="n">
        <f aca="false">IF($A34&gt;=B$4,0,(1-(1+'Stressed case'!$B$18)^-(B$4-$A34))/(1-(1+'Stressed case'!$B$18)^-B$4))</f>
        <v>0</v>
      </c>
      <c r="C34" s="55" t="n">
        <f aca="false">IF($A34&gt;=C$4,0,(1-(1+'Stressed case'!$B$18)^-(C$4-$A34))/(1-(1+'Stressed case'!$B$18)^-C$4))</f>
        <v>0.142825341526007</v>
      </c>
      <c r="D34" s="55" t="n">
        <f aca="false">IF($A34&gt;=D$4,0,(1-(1+'Stressed case'!$B$18)^-(D$4-$A34))/(1-(1+'Stressed case'!$B$18)^-D$4))</f>
        <v>0.367811940443243</v>
      </c>
      <c r="E34" s="55" t="n">
        <f aca="false">IF($A34&gt;=E$4,0,(1-(1+'Stressed case'!$B$18)^-(E$4-$A34))/(1-(1+'Stressed case'!$B$18)^-E$4))</f>
        <v>0.540153751022057</v>
      </c>
      <c r="F34" s="55" t="n">
        <f aca="false">IF($A34&gt;=F$4,0,(1-(1+'Stressed case'!$B$18)^-(F$4-$A34))/(1-(1+'Stressed case'!$B$18)^-F$4))</f>
        <v>0.714609573032994</v>
      </c>
      <c r="H34" s="3"/>
    </row>
    <row r="35" customFormat="false" ht="15" hidden="false" customHeight="false" outlineLevel="0" collapsed="false">
      <c r="A35" s="30" t="n">
        <v>22</v>
      </c>
      <c r="B35" s="54" t="n">
        <f aca="false">IF($A35&gt;=B$4,0,(1-(1+'Stressed case'!$B$18)^-(B$4-$A35))/(1-(1+'Stressed case'!$B$18)^-B$4))</f>
        <v>0</v>
      </c>
      <c r="C35" s="54" t="n">
        <f aca="false">IF($A35&gt;=C$4,0,(1-(1+'Stressed case'!$B$18)^-(C$4-$A35))/(1-(1+'Stressed case'!$B$18)^-C$4))</f>
        <v>0.0958382726674642</v>
      </c>
      <c r="D35" s="54" t="n">
        <f aca="false">IF($A35&gt;=D$4,0,(1-(1+'Stressed case'!$B$18)^-(D$4-$A35))/(1-(1+'Stressed case'!$B$18)^-D$4))</f>
        <v>0.333157784965963</v>
      </c>
      <c r="E35" s="54" t="n">
        <f aca="false">IF($A35&gt;=E$4,0,(1-(1+'Stressed case'!$B$18)^-(E$4-$A35))/(1-(1+'Stressed case'!$B$18)^-E$4))</f>
        <v>0.51494672098277</v>
      </c>
      <c r="F35" s="54" t="n">
        <f aca="false">IF($A35&gt;=F$4,0,(1-(1+'Stressed case'!$B$18)^-(F$4-$A35))/(1-(1+'Stressed case'!$B$18)^-F$4))</f>
        <v>0.698965550533144</v>
      </c>
      <c r="H35" s="3"/>
    </row>
    <row r="36" customFormat="false" ht="15" hidden="false" customHeight="false" outlineLevel="0" collapsed="false">
      <c r="A36" s="45" t="n">
        <v>23</v>
      </c>
      <c r="B36" s="55" t="n">
        <f aca="false">IF($A36&gt;=B$4,0,(1-(1+'Stressed case'!$B$18)^-(B$4-$A36))/(1-(1+'Stressed case'!$B$18)^-B$4))</f>
        <v>0</v>
      </c>
      <c r="C36" s="55" t="n">
        <f aca="false">IF($A36&gt;=C$4,0,(1-(1+'Stressed case'!$B$18)^-(C$4-$A36))/(1-(1+'Stressed case'!$B$18)^-C$4))</f>
        <v>0.0482325407356166</v>
      </c>
      <c r="D36" s="55" t="n">
        <f aca="false">IF($A36&gt;=D$4,0,(1-(1+'Stressed case'!$B$18)^-(D$4-$A36))/(1-(1+'Stressed case'!$B$18)^-D$4))</f>
        <v>0.298047349774898</v>
      </c>
      <c r="E36" s="55" t="n">
        <f aca="false">IF($A36&gt;=E$4,0,(1-(1+'Stressed case'!$B$18)^-(E$4-$A36))/(1-(1+'Stressed case'!$B$18)^-E$4))</f>
        <v>0.489407798381299</v>
      </c>
      <c r="F36" s="55" t="n">
        <f aca="false">IF($A36&gt;=F$4,0,(1-(1+'Stressed case'!$B$18)^-(F$4-$A36))/(1-(1+'Stressed case'!$B$18)^-F$4))</f>
        <v>0.683115548403714</v>
      </c>
      <c r="H36" s="3"/>
    </row>
    <row r="37" customFormat="false" ht="15" hidden="false" customHeight="false" outlineLevel="0" collapsed="false">
      <c r="A37" s="30" t="n">
        <v>24</v>
      </c>
      <c r="B37" s="54" t="n">
        <f aca="false">IF($A37&gt;=B$4,0,(1-(1+'Stressed case'!$B$18)^-(B$4-$A37))/(1-(1+'Stressed case'!$B$18)^-B$4))</f>
        <v>0</v>
      </c>
      <c r="C37" s="54" t="n">
        <f aca="false">IF($A37&gt;=C$4,0,(1-(1+'Stressed case'!$B$18)^-(C$4-$A37))/(1-(1+'Stressed case'!$B$18)^-C$4))</f>
        <v>0</v>
      </c>
      <c r="D37" s="54" t="n">
        <f aca="false">IF($A37&gt;=D$4,0,(1-(1+'Stressed case'!$B$18)^-(D$4-$A37))/(1-(1+'Stressed case'!$B$18)^-D$4))</f>
        <v>0.262474627187152</v>
      </c>
      <c r="E37" s="54" t="n">
        <f aca="false">IF($A37&gt;=E$4,0,(1-(1+'Stressed case'!$B$18)^-(E$4-$A37))/(1-(1+'Stressed case'!$B$18)^-E$4))</f>
        <v>0.463532613298909</v>
      </c>
      <c r="F37" s="54" t="n">
        <f aca="false">IF($A37&gt;=F$4,0,(1-(1+'Stressed case'!$B$18)^-(F$4-$A37))/(1-(1+'Stressed case'!$B$18)^-F$4))</f>
        <v>0.667056854579579</v>
      </c>
      <c r="H37" s="3"/>
    </row>
    <row r="38" customFormat="false" ht="15" hidden="false" customHeight="false" outlineLevel="0" collapsed="false">
      <c r="A38" s="45" t="n">
        <v>25</v>
      </c>
      <c r="B38" s="55" t="n">
        <f aca="false">IF($A38&gt;=B$4,0,(1-(1+'Stressed case'!$B$18)^-(B$4-$A38))/(1-(1+'Stressed case'!$B$18)^-B$4))</f>
        <v>0</v>
      </c>
      <c r="C38" s="55" t="n">
        <f aca="false">IF($A38&gt;=C$4,0,(1-(1+'Stressed case'!$B$18)^-(C$4-$A38))/(1-(1+'Stressed case'!$B$18)^-C$4))</f>
        <v>0</v>
      </c>
      <c r="D38" s="55" t="n">
        <f aca="false">IF($A38&gt;=D$4,0,(1-(1+'Stressed case'!$B$18)^-(D$4-$A38))/(1-(1+'Stressed case'!$B$18)^-D$4))</f>
        <v>0.226433530418666</v>
      </c>
      <c r="E38" s="55" t="n">
        <f aca="false">IF($A38&gt;=E$4,0,(1-(1+'Stressed case'!$B$18)^-(E$4-$A38))/(1-(1+'Stressed case'!$B$18)^-E$4))</f>
        <v>0.437316738279601</v>
      </c>
      <c r="F38" s="55" t="n">
        <f aca="false">IF($A38&gt;=F$4,0,(1-(1+'Stressed case'!$B$18)^-(F$4-$A38))/(1-(1+'Stressed case'!$B$18)^-F$4))</f>
        <v>0.650786721286759</v>
      </c>
      <c r="H38" s="3"/>
    </row>
    <row r="39" customFormat="false" ht="15" hidden="false" customHeight="false" outlineLevel="0" collapsed="false">
      <c r="A39" s="30" t="n">
        <v>26</v>
      </c>
      <c r="B39" s="54" t="n">
        <f aca="false">IF($A39&gt;=B$4,0,(1-(1+'Stressed case'!$B$18)^-(B$4-$A39))/(1-(1+'Stressed case'!$B$18)^-B$4))</f>
        <v>0</v>
      </c>
      <c r="C39" s="54" t="n">
        <f aca="false">IF($A39&gt;=C$4,0,(1-(1+'Stressed case'!$B$18)^-(C$4-$A39))/(1-(1+'Stressed case'!$B$18)^-C$4))</f>
        <v>0</v>
      </c>
      <c r="D39" s="54" t="n">
        <f aca="false">IF($A39&gt;=D$4,0,(1-(1+'Stressed case'!$B$18)^-(D$4-$A39))/(1-(1+'Stressed case'!$B$18)^-D$4))</f>
        <v>0.189917892542729</v>
      </c>
      <c r="E39" s="54" t="n">
        <f aca="false">IF($A39&gt;=E$4,0,(1-(1+'Stressed case'!$B$18)^-(E$4-$A39))/(1-(1+'Stressed case'!$B$18)^-E$4))</f>
        <v>0.410755687572538</v>
      </c>
      <c r="F39" s="54" t="n">
        <f aca="false">IF($A39&gt;=F$4,0,(1-(1+'Stressed case'!$B$18)^-(F$4-$A39))/(1-(1+'Stressed case'!$B$18)^-F$4))</f>
        <v>0.634302364572251</v>
      </c>
      <c r="H39" s="3"/>
    </row>
    <row r="40" customFormat="false" ht="15" hidden="false" customHeight="false" outlineLevel="0" collapsed="false">
      <c r="A40" s="45" t="n">
        <v>27</v>
      </c>
      <c r="B40" s="55" t="n">
        <f aca="false">IF($A40&gt;=B$4,0,(1-(1+'Stressed case'!$B$18)^-(B$4-$A40))/(1-(1+'Stressed case'!$B$18)^-B$4))</f>
        <v>0</v>
      </c>
      <c r="C40" s="55" t="n">
        <f aca="false">IF($A40&gt;=C$4,0,(1-(1+'Stressed case'!$B$18)^-(C$4-$A40))/(1-(1+'Stressed case'!$B$18)^-C$4))</f>
        <v>0</v>
      </c>
      <c r="D40" s="55" t="n">
        <f aca="false">IF($A40&gt;=D$4,0,(1-(1+'Stressed case'!$B$18)^-(D$4-$A40))/(1-(1+'Stressed case'!$B$18)^-D$4))</f>
        <v>0.152921465434759</v>
      </c>
      <c r="E40" s="55" t="n">
        <f aca="false">IF($A40&gt;=E$4,0,(1-(1+'Stressed case'!$B$18)^-(E$4-$A40))/(1-(1+'Stressed case'!$B$18)^-E$4))</f>
        <v>0.383844916364499</v>
      </c>
      <c r="F40" s="55" t="n">
        <f aca="false">IF($A40&gt;=F$4,0,(1-(1+'Stressed case'!$B$18)^-(F$4-$A40))/(1-(1+'Stressed case'!$B$18)^-F$4))</f>
        <v>0.617600963827669</v>
      </c>
      <c r="H40" s="3"/>
    </row>
    <row r="41" customFormat="false" ht="15" hidden="false" customHeight="false" outlineLevel="0" collapsed="false">
      <c r="A41" s="30" t="n">
        <v>28</v>
      </c>
      <c r="B41" s="54" t="n">
        <f aca="false">IF($A41&gt;=B$4,0,(1-(1+'Stressed case'!$B$18)^-(B$4-$A41))/(1-(1+'Stressed case'!$B$18)^-B$4))</f>
        <v>0</v>
      </c>
      <c r="C41" s="54" t="n">
        <f aca="false">IF($A41&gt;=C$4,0,(1-(1+'Stressed case'!$B$18)^-(C$4-$A41))/(1-(1+'Stressed case'!$B$18)^-C$4))</f>
        <v>0</v>
      </c>
      <c r="D41" s="54" t="n">
        <f aca="false">IF($A41&gt;=D$4,0,(1-(1+'Stressed case'!$B$18)^-(D$4-$A41))/(1-(1+'Stressed case'!$B$18)^-D$4))</f>
        <v>0.1154379187032</v>
      </c>
      <c r="E41" s="54" t="n">
        <f aca="false">IF($A41&gt;=E$4,0,(1-(1+'Stressed case'!$B$18)^-(E$4-$A41))/(1-(1+'Stressed case'!$B$18)^-E$4))</f>
        <v>0.356579820002221</v>
      </c>
      <c r="F41" s="54" t="n">
        <f aca="false">IF($A41&gt;=F$4,0,(1-(1+'Stressed case'!$B$18)^-(F$4-$A41))/(1-(1+'Stressed case'!$B$18)^-F$4))</f>
        <v>0.600679661306616</v>
      </c>
    </row>
    <row r="42" customFormat="false" ht="15" hidden="false" customHeight="false" outlineLevel="0" collapsed="false">
      <c r="A42" s="45" t="n">
        <v>29</v>
      </c>
      <c r="B42" s="55" t="n">
        <f aca="false">IF($A42&gt;=B$4,0,(1-(1+'Stressed case'!$B$18)^-(B$4-$A42))/(1-(1+'Stressed case'!$B$18)^-B$4))</f>
        <v>0</v>
      </c>
      <c r="C42" s="55" t="n">
        <f aca="false">IF($A42&gt;=C$4,0,(1-(1+'Stressed case'!$B$18)^-(C$4-$A42))/(1-(1+'Stressed case'!$B$18)^-C$4))</f>
        <v>0</v>
      </c>
      <c r="D42" s="55" t="n">
        <f aca="false">IF($A42&gt;=D$4,0,(1-(1+'Stressed case'!$B$18)^-(D$4-$A42))/(1-(1+'Stressed case'!$B$18)^-D$4))</f>
        <v>0.077460838606343</v>
      </c>
      <c r="E42" s="55" t="n">
        <f aca="false">IF($A42&gt;=E$4,0,(1-(1+'Stressed case'!$B$18)^-(E$4-$A42))/(1-(1+'Stressed case'!$B$18)^-E$4))</f>
        <v>0.328955733204506</v>
      </c>
      <c r="F42" s="55" t="n">
        <f aca="false">IF($A42&gt;=F$4,0,(1-(1+'Stressed case'!$B$18)^-(F$4-$A42))/(1-(1+'Stressed case'!$B$18)^-F$4))</f>
        <v>0.583535561635703</v>
      </c>
    </row>
    <row r="43" customFormat="false" ht="15" hidden="false" customHeight="false" outlineLevel="0" collapsed="false">
      <c r="A43" s="30" t="n">
        <v>30</v>
      </c>
      <c r="B43" s="54" t="n">
        <f aca="false">IF($A43&gt;=B$4,0,(1-(1+'Stressed case'!$B$18)^-(B$4-$A43))/(1-(1+'Stressed case'!$B$18)^-B$4))</f>
        <v>0</v>
      </c>
      <c r="C43" s="54" t="n">
        <f aca="false">IF($A43&gt;=C$4,0,(1-(1+'Stressed case'!$B$18)^-(C$4-$A43))/(1-(1+'Stressed case'!$B$18)^-C$4))</f>
        <v>0</v>
      </c>
      <c r="D43" s="54" t="n">
        <f aca="false">IF($A43&gt;=D$4,0,(1-(1+'Stressed case'!$B$18)^-(D$4-$A43))/(1-(1+'Stressed case'!$B$18)^-D$4))</f>
        <v>0.0389837269548768</v>
      </c>
      <c r="E43" s="54" t="n">
        <f aca="false">IF($A43&gt;=E$4,0,(1-(1+'Stressed case'!$B$18)^-(E$4-$A43))/(1-(1+'Stressed case'!$B$18)^-E$4))</f>
        <v>0.300967929263955</v>
      </c>
      <c r="F43" s="54" t="n">
        <f aca="false">IF($A43&gt;=F$4,0,(1-(1+'Stressed case'!$B$18)^-(F$4-$A43))/(1-(1+'Stressed case'!$B$18)^-F$4))</f>
        <v>0.566165731319123</v>
      </c>
    </row>
    <row r="44" customFormat="false" ht="15" hidden="false" customHeight="false" outlineLevel="0" collapsed="false">
      <c r="A44" s="45" t="n">
        <v>31</v>
      </c>
      <c r="B44" s="55" t="n">
        <f aca="false">IF($A44&gt;=B$4,0,(1-(1+'Stressed case'!$B$18)^-(B$4-$A44))/(1-(1+'Stressed case'!$B$18)^-B$4))</f>
        <v>0</v>
      </c>
      <c r="C44" s="55" t="n">
        <f aca="false">IF($A44&gt;=C$4,0,(1-(1+'Stressed case'!$B$18)^-(C$4-$A44))/(1-(1+'Stressed case'!$B$18)^-C$4))</f>
        <v>0</v>
      </c>
      <c r="D44" s="55" t="n">
        <f aca="false">IF($A44&gt;=D$4,0,(1-(1+'Stressed case'!$B$18)^-(D$4-$A44))/(1-(1+'Stressed case'!$B$18)^-D$4))</f>
        <v>0</v>
      </c>
      <c r="E44" s="55" t="n">
        <f aca="false">IF($A44&gt;=E$4,0,(1-(1+'Stressed case'!$B$18)^-(E$4-$A44))/(1-(1+'Stressed case'!$B$18)^-E$4))</f>
        <v>0.272611619238186</v>
      </c>
      <c r="F44" s="55" t="n">
        <f aca="false">IF($A44&gt;=F$4,0,(1-(1+'Stressed case'!$B$18)^-(F$4-$A44))/(1-(1+'Stressed case'!$B$18)^-F$4))</f>
        <v>0.548567198236707</v>
      </c>
    </row>
    <row r="45" customFormat="false" ht="15" hidden="false" customHeight="false" outlineLevel="0" collapsed="false">
      <c r="A45" s="30" t="n">
        <v>32</v>
      </c>
      <c r="B45" s="54" t="n">
        <f aca="false">IF($A45&gt;=B$4,0,(1-(1+'Stressed case'!$B$18)^-(B$4-$A45))/(1-(1+'Stressed case'!$B$18)^-B$4))</f>
        <v>0</v>
      </c>
      <c r="C45" s="54" t="n">
        <f aca="false">IF($A45&gt;=C$4,0,(1-(1+'Stressed case'!$B$18)^-(C$4-$A45))/(1-(1+'Stressed case'!$B$18)^-C$4))</f>
        <v>0</v>
      </c>
      <c r="D45" s="54" t="n">
        <f aca="false">IF($A45&gt;=D$4,0,(1-(1+'Stressed case'!$B$18)^-(D$4-$A45))/(1-(1+'Stressed case'!$B$18)^-D$4))</f>
        <v>0</v>
      </c>
      <c r="E45" s="54" t="n">
        <f aca="false">IF($A45&gt;=E$4,0,(1-(1+'Stressed case'!$B$18)^-(E$4-$A45))/(1-(1+'Stressed case'!$B$18)^-E$4))</f>
        <v>0.243881951130412</v>
      </c>
      <c r="F45" s="54" t="n">
        <f aca="false">IF($A45&gt;=F$4,0,(1-(1+'Stressed case'!$B$18)^-(F$4-$A45))/(1-(1+'Stressed case'!$B$18)^-F$4))</f>
        <v>0.530736951135373</v>
      </c>
    </row>
    <row r="46" customFormat="false" ht="15" hidden="false" customHeight="false" outlineLevel="0" collapsed="false">
      <c r="A46" s="45" t="n">
        <v>33</v>
      </c>
      <c r="B46" s="55" t="n">
        <f aca="false">IF($A46&gt;=B$4,0,(1-(1+'Stressed case'!$B$18)^-(B$4-$A46))/(1-(1+'Stressed case'!$B$18)^-B$4))</f>
        <v>0</v>
      </c>
      <c r="C46" s="55" t="n">
        <f aca="false">IF($A46&gt;=C$4,0,(1-(1+'Stressed case'!$B$18)^-(C$4-$A46))/(1-(1+'Stressed case'!$B$18)^-C$4))</f>
        <v>0</v>
      </c>
      <c r="D46" s="55" t="n">
        <f aca="false">IF($A46&gt;=D$4,0,(1-(1+'Stressed case'!$B$18)^-(D$4-$A46))/(1-(1+'Stressed case'!$B$18)^-D$4))</f>
        <v>0</v>
      </c>
      <c r="E46" s="55" t="n">
        <f aca="false">IF($A46&gt;=E$4,0,(1-(1+'Stressed case'!$B$18)^-(E$4-$A46))/(1-(1+'Stressed case'!$B$18)^-E$4))</f>
        <v>0.214774009059218</v>
      </c>
      <c r="F46" s="55" t="n">
        <f aca="false">IF($A46&gt;=F$4,0,(1-(1+'Stressed case'!$B$18)^-(F$4-$A46))/(1-(1+'Stressed case'!$B$18)^-F$4))</f>
        <v>0.512671939113872</v>
      </c>
    </row>
    <row r="47" customFormat="false" ht="15" hidden="false" customHeight="false" outlineLevel="0" collapsed="false">
      <c r="A47" s="30" t="n">
        <v>34</v>
      </c>
      <c r="B47" s="54" t="n">
        <f aca="false">IF($A47&gt;=B$4,0,(1-(1+'Stressed case'!$B$18)^-(B$4-$A47))/(1-(1+'Stressed case'!$B$18)^-B$4))</f>
        <v>0</v>
      </c>
      <c r="C47" s="54" t="n">
        <f aca="false">IF($A47&gt;=C$4,0,(1-(1+'Stressed case'!$B$18)^-(C$4-$A47))/(1-(1+'Stressed case'!$B$18)^-C$4))</f>
        <v>0</v>
      </c>
      <c r="D47" s="54" t="n">
        <f aca="false">IF($A47&gt;=D$4,0,(1-(1+'Stressed case'!$B$18)^-(D$4-$A47))/(1-(1+'Stressed case'!$B$18)^-D$4))</f>
        <v>0</v>
      </c>
      <c r="E47" s="54" t="n">
        <f aca="false">IF($A47&gt;=E$4,0,(1-(1+'Stressed case'!$B$18)^-(E$4-$A47))/(1-(1+'Stressed case'!$B$18)^-E$4))</f>
        <v>0.18528281241742</v>
      </c>
      <c r="F47" s="54" t="n">
        <f aca="false">IF($A47&gt;=F$4,0,(1-(1+'Stressed case'!$B$18)^-(F$4-$A47))/(1-(1+'Stressed case'!$B$18)^-F$4))</f>
        <v>0.494369071100754</v>
      </c>
    </row>
    <row r="48" customFormat="false" ht="15" hidden="false" customHeight="false" outlineLevel="0" collapsed="false">
      <c r="A48" s="45" t="n">
        <v>35</v>
      </c>
      <c r="B48" s="55" t="n">
        <f aca="false">IF($A48&gt;=B$4,0,(1-(1+'Stressed case'!$B$18)^-(B$4-$A48))/(1-(1+'Stressed case'!$B$18)^-B$4))</f>
        <v>0</v>
      </c>
      <c r="C48" s="55" t="n">
        <f aca="false">IF($A48&gt;=C$4,0,(1-(1+'Stressed case'!$B$18)^-(C$4-$A48))/(1-(1+'Stressed case'!$B$18)^-C$4))</f>
        <v>0</v>
      </c>
      <c r="D48" s="55" t="n">
        <f aca="false">IF($A48&gt;=D$4,0,(1-(1+'Stressed case'!$B$18)^-(D$4-$A48))/(1-(1+'Stressed case'!$B$18)^-D$4))</f>
        <v>0</v>
      </c>
      <c r="E48" s="55" t="n">
        <f aca="false">IF($A48&gt;=E$4,0,(1-(1+'Stressed case'!$B$18)^-(E$4-$A48))/(1-(1+'Stressed case'!$B$18)^-E$4))</f>
        <v>0.155403315019839</v>
      </c>
      <c r="F48" s="55" t="n">
        <f aca="false">IF($A48&gt;=F$4,0,(1-(1+'Stressed case'!$B$18)^-(F$4-$A48))/(1-(1+'Stressed case'!$B$18)^-F$4))</f>
        <v>0.475825215325464</v>
      </c>
    </row>
    <row r="49" customFormat="false" ht="15" hidden="false" customHeight="false" outlineLevel="0" collapsed="false">
      <c r="A49" s="30" t="n">
        <v>36</v>
      </c>
      <c r="B49" s="54" t="n">
        <f aca="false">IF($A49&gt;=B$4,0,(1-(1+'Stressed case'!$B$18)^-(B$4-$A49))/(1-(1+'Stressed case'!$B$18)^-B$4))</f>
        <v>0</v>
      </c>
      <c r="C49" s="54" t="n">
        <f aca="false">IF($A49&gt;=C$4,0,(1-(1+'Stressed case'!$B$18)^-(C$4-$A49))/(1-(1+'Stressed case'!$B$18)^-C$4))</f>
        <v>0</v>
      </c>
      <c r="D49" s="54" t="n">
        <f aca="false">IF($A49&gt;=D$4,0,(1-(1+'Stressed case'!$B$18)^-(D$4-$A49))/(1-(1+'Stressed case'!$B$18)^-D$4))</f>
        <v>0</v>
      </c>
      <c r="E49" s="54" t="n">
        <f aca="false">IF($A49&gt;=E$4,0,(1-(1+'Stressed case'!$B$18)^-(E$4-$A49))/(1-(1+'Stressed case'!$B$18)^-E$4))</f>
        <v>0.125130404239856</v>
      </c>
      <c r="F49" s="54" t="n">
        <f aca="false">IF($A49&gt;=F$4,0,(1-(1+'Stressed case'!$B$18)^-(F$4-$A49))/(1-(1+'Stressed case'!$B$18)^-F$4))</f>
        <v>0.457037198782465</v>
      </c>
    </row>
    <row r="50" customFormat="false" ht="15" hidden="false" customHeight="false" outlineLevel="0" collapsed="false">
      <c r="A50" s="45" t="n">
        <v>37</v>
      </c>
      <c r="B50" s="55" t="n">
        <f aca="false">IF($A50&gt;=B$4,0,(1-(1+'Stressed case'!$B$18)^-(B$4-$A50))/(1-(1+'Stressed case'!$B$18)^-B$4))</f>
        <v>0</v>
      </c>
      <c r="C50" s="55" t="n">
        <f aca="false">IF($A50&gt;=C$4,0,(1-(1+'Stressed case'!$B$18)^-(C$4-$A50))/(1-(1+'Stressed case'!$B$18)^-C$4))</f>
        <v>0</v>
      </c>
      <c r="D50" s="55" t="n">
        <f aca="false">IF($A50&gt;=D$4,0,(1-(1+'Stressed case'!$B$18)^-(D$4-$A50))/(1-(1+'Stressed case'!$B$18)^-D$4))</f>
        <v>0</v>
      </c>
      <c r="E50" s="55" t="n">
        <f aca="false">IF($A50&gt;=E$4,0,(1-(1+'Stressed case'!$B$18)^-(E$4-$A50))/(1-(1+'Stressed case'!$B$18)^-E$4))</f>
        <v>0.0944589001346034</v>
      </c>
      <c r="F50" s="55" t="n">
        <f aca="false">IF($A50&gt;=F$4,0,(1-(1+'Stressed case'!$B$18)^-(F$4-$A50))/(1-(1+'Stressed case'!$B$18)^-F$4))</f>
        <v>0.438001806688317</v>
      </c>
    </row>
    <row r="51" customFormat="false" ht="15" hidden="false" customHeight="false" outlineLevel="0" collapsed="false">
      <c r="A51" s="30" t="n">
        <v>38</v>
      </c>
      <c r="B51" s="54" t="n">
        <f aca="false">IF($A51&gt;=B$4,0,(1-(1+'Stressed case'!$B$18)^-(B$4-$A51))/(1-(1+'Stressed case'!$B$18)^-B$4))</f>
        <v>0</v>
      </c>
      <c r="C51" s="54" t="n">
        <f aca="false">IF($A51&gt;=C$4,0,(1-(1+'Stressed case'!$B$18)^-(C$4-$A51))/(1-(1+'Stressed case'!$B$18)^-C$4))</f>
        <v>0</v>
      </c>
      <c r="D51" s="54" t="n">
        <f aca="false">IF($A51&gt;=D$4,0,(1-(1+'Stressed case'!$B$18)^-(D$4-$A51))/(1-(1+'Stressed case'!$B$18)^-D$4))</f>
        <v>0</v>
      </c>
      <c r="E51" s="54" t="n">
        <f aca="false">IF($A51&gt;=E$4,0,(1-(1+'Stressed case'!$B$18)^-(E$4-$A51))/(1-(1+'Stressed case'!$B$18)^-E$4))</f>
        <v>0.0633835545586317</v>
      </c>
      <c r="F51" s="54" t="n">
        <f aca="false">IF($A51&gt;=F$4,0,(1-(1+'Stressed case'!$B$18)^-(F$4-$A51))/(1-(1+'Stressed case'!$B$18)^-F$4))</f>
        <v>0.418715781931596</v>
      </c>
    </row>
    <row r="52" customFormat="false" ht="15" hidden="false" customHeight="false" outlineLevel="0" collapsed="false">
      <c r="A52" s="45" t="n">
        <v>39</v>
      </c>
      <c r="B52" s="55" t="n">
        <f aca="false">IF($A52&gt;=B$4,0,(1-(1+'Stressed case'!$B$18)^-(B$4-$A52))/(1-(1+'Stressed case'!$B$18)^-B$4))</f>
        <v>0</v>
      </c>
      <c r="C52" s="55" t="n">
        <f aca="false">IF($A52&gt;=C$4,0,(1-(1+'Stressed case'!$B$18)^-(C$4-$A52))/(1-(1+'Stressed case'!$B$18)^-C$4))</f>
        <v>0</v>
      </c>
      <c r="D52" s="55" t="n">
        <f aca="false">IF($A52&gt;=D$4,0,(1-(1+'Stressed case'!$B$18)^-(D$4-$A52))/(1-(1+'Stressed case'!$B$18)^-D$4))</f>
        <v>0</v>
      </c>
      <c r="E52" s="55" t="n">
        <f aca="false">IF($A52&gt;=E$4,0,(1-(1+'Stressed case'!$B$18)^-(E$4-$A52))/(1-(1+'Stressed case'!$B$18)^-E$4))</f>
        <v>0.0318990502659095</v>
      </c>
      <c r="F52" s="55" t="n">
        <f aca="false">IF($A52&gt;=F$4,0,(1-(1+'Stressed case'!$B$18)^-(F$4-$A52))/(1-(1+'Stressed case'!$B$18)^-F$4))</f>
        <v>0.399175824515578</v>
      </c>
    </row>
    <row r="53" customFormat="false" ht="15" hidden="false" customHeight="false" outlineLevel="0" collapsed="false">
      <c r="A53" s="30" t="n">
        <v>40</v>
      </c>
      <c r="B53" s="54" t="n">
        <f aca="false">IF($A53&gt;=B$4,0,(1-(1+'Stressed case'!$B$18)^-(B$4-$A53))/(1-(1+'Stressed case'!$B$18)^-B$4))</f>
        <v>0</v>
      </c>
      <c r="C53" s="54" t="n">
        <f aca="false">IF($A53&gt;=C$4,0,(1-(1+'Stressed case'!$B$18)^-(C$4-$A53))/(1-(1+'Stressed case'!$B$18)^-C$4))</f>
        <v>0</v>
      </c>
      <c r="D53" s="54" t="n">
        <f aca="false">IF($A53&gt;=D$4,0,(1-(1+'Stressed case'!$B$18)^-(D$4-$A53))/(1-(1+'Stressed case'!$B$18)^-D$4))</f>
        <v>0</v>
      </c>
      <c r="E53" s="54" t="n">
        <f aca="false">IF($A53&gt;=E$4,0,(1-(1+'Stressed case'!$B$18)^-(E$4-$A53))/(1-(1+'Stressed case'!$B$18)^-E$4))</f>
        <v>0</v>
      </c>
      <c r="F53" s="54" t="n">
        <f aca="false">IF($A53&gt;=F$4,0,(1-(1+'Stressed case'!$B$18)^-(F$4-$A53))/(1-(1+'Stressed case'!$B$18)^-F$4))</f>
        <v>0.379378590993583</v>
      </c>
    </row>
    <row r="54" customFormat="false" ht="15" hidden="false" customHeight="false" outlineLevel="0" collapsed="false">
      <c r="A54" s="45" t="n">
        <v>41</v>
      </c>
      <c r="B54" s="55" t="n">
        <f aca="false">IF($A54&gt;=B$4,0,(1-(1+'Stressed case'!$B$18)^-(B$4-$A54))/(1-(1+'Stressed case'!$B$18)^-B$4))</f>
        <v>0</v>
      </c>
      <c r="C54" s="55" t="n">
        <f aca="false">IF($A54&gt;=C$4,0,(1-(1+'Stressed case'!$B$18)^-(C$4-$A54))/(1-(1+'Stressed case'!$B$18)^-C$4))</f>
        <v>0</v>
      </c>
      <c r="D54" s="55" t="n">
        <f aca="false">IF($A54&gt;=D$4,0,(1-(1+'Stressed case'!$B$18)^-(D$4-$A54))/(1-(1+'Stressed case'!$B$18)^-D$4))</f>
        <v>0</v>
      </c>
      <c r="E54" s="55" t="n">
        <f aca="false">IF($A54&gt;=E$4,0,(1-(1+'Stressed case'!$B$18)^-(E$4-$A54))/(1-(1+'Stressed case'!$B$18)^-E$4))</f>
        <v>0</v>
      </c>
      <c r="F54" s="55" t="n">
        <f aca="false">IF($A54&gt;=F$4,0,(1-(1+'Stressed case'!$B$18)^-(F$4-$A54))/(1-(1+'Stressed case'!$B$18)^-F$4))</f>
        <v>0.359320693896882</v>
      </c>
    </row>
    <row r="55" customFormat="false" ht="15" hidden="false" customHeight="false" outlineLevel="0" collapsed="false">
      <c r="A55" s="30" t="n">
        <v>42</v>
      </c>
      <c r="B55" s="54" t="n">
        <f aca="false">IF($A55&gt;=B$4,0,(1-(1+'Stressed case'!$B$18)^-(B$4-$A55))/(1-(1+'Stressed case'!$B$18)^-B$4))</f>
        <v>0</v>
      </c>
      <c r="C55" s="54" t="n">
        <f aca="false">IF($A55&gt;=C$4,0,(1-(1+'Stressed case'!$B$18)^-(C$4-$A55))/(1-(1+'Stressed case'!$B$18)^-C$4))</f>
        <v>0</v>
      </c>
      <c r="D55" s="54" t="n">
        <f aca="false">IF($A55&gt;=D$4,0,(1-(1+'Stressed case'!$B$18)^-(D$4-$A55))/(1-(1+'Stressed case'!$B$18)^-D$4))</f>
        <v>0</v>
      </c>
      <c r="E55" s="54" t="n">
        <f aca="false">IF($A55&gt;=E$4,0,(1-(1+'Stressed case'!$B$18)^-(E$4-$A55))/(1-(1+'Stressed case'!$B$18)^-E$4))</f>
        <v>0</v>
      </c>
      <c r="F55" s="54" t="n">
        <f aca="false">IF($A55&gt;=F$4,0,(1-(1+'Stressed case'!$B$18)^-(F$4-$A55))/(1-(1+'Stressed case'!$B$18)^-F$4))</f>
        <v>0.338998701155073</v>
      </c>
    </row>
    <row r="56" customFormat="false" ht="15" hidden="false" customHeight="false" outlineLevel="0" collapsed="false">
      <c r="A56" s="45" t="n">
        <v>43</v>
      </c>
      <c r="B56" s="55" t="n">
        <f aca="false">IF($A56&gt;=B$4,0,(1-(1+'Stressed case'!$B$18)^-(B$4-$A56))/(1-(1+'Stressed case'!$B$18)^-B$4))</f>
        <v>0</v>
      </c>
      <c r="C56" s="55" t="n">
        <f aca="false">IF($A56&gt;=C$4,0,(1-(1+'Stressed case'!$B$18)^-(C$4-$A56))/(1-(1+'Stressed case'!$B$18)^-C$4))</f>
        <v>0</v>
      </c>
      <c r="D56" s="55" t="n">
        <f aca="false">IF($A56&gt;=D$4,0,(1-(1+'Stressed case'!$B$18)^-(D$4-$A56))/(1-(1+'Stressed case'!$B$18)^-D$4))</f>
        <v>0</v>
      </c>
      <c r="E56" s="55" t="n">
        <f aca="false">IF($A56&gt;=E$4,0,(1-(1+'Stressed case'!$B$18)^-(E$4-$A56))/(1-(1+'Stressed case'!$B$18)^-E$4))</f>
        <v>0</v>
      </c>
      <c r="F56" s="55" t="n">
        <f aca="false">IF($A56&gt;=F$4,0,(1-(1+'Stressed case'!$B$18)^-(F$4-$A56))/(1-(1+'Stressed case'!$B$18)^-F$4))</f>
        <v>0.318409135508831</v>
      </c>
    </row>
    <row r="57" customFormat="false" ht="15" hidden="false" customHeight="false" outlineLevel="0" collapsed="false">
      <c r="A57" s="30" t="n">
        <v>44</v>
      </c>
      <c r="B57" s="54" t="n">
        <f aca="false">IF($A57&gt;=B$4,0,(1-(1+'Stressed case'!$B$18)^-(B$4-$A57))/(1-(1+'Stressed case'!$B$18)^-B$4))</f>
        <v>0</v>
      </c>
      <c r="C57" s="54" t="n">
        <f aca="false">IF($A57&gt;=C$4,0,(1-(1+'Stressed case'!$B$18)^-(C$4-$A57))/(1-(1+'Stressed case'!$B$18)^-C$4))</f>
        <v>0</v>
      </c>
      <c r="D57" s="54" t="n">
        <f aca="false">IF($A57&gt;=D$4,0,(1-(1+'Stressed case'!$B$18)^-(D$4-$A57))/(1-(1+'Stressed case'!$B$18)^-D$4))</f>
        <v>0</v>
      </c>
      <c r="E57" s="54" t="n">
        <f aca="false">IF($A57&gt;=E$4,0,(1-(1+'Stressed case'!$B$18)^-(E$4-$A57))/(1-(1+'Stressed case'!$B$18)^-E$4))</f>
        <v>0</v>
      </c>
      <c r="F57" s="54" t="n">
        <f aca="false">IF($A57&gt;=F$4,0,(1-(1+'Stressed case'!$B$18)^-(F$4-$A57))/(1-(1+'Stressed case'!$B$18)^-F$4))</f>
        <v>0.297548473914914</v>
      </c>
    </row>
    <row r="58" customFormat="false" ht="15" hidden="false" customHeight="false" outlineLevel="0" collapsed="false">
      <c r="A58" s="45" t="n">
        <v>45</v>
      </c>
      <c r="B58" s="55" t="n">
        <f aca="false">IF($A58&gt;=B$4,0,(1-(1+'Stressed case'!$B$18)^-(B$4-$A58))/(1-(1+'Stressed case'!$B$18)^-B$4))</f>
        <v>0</v>
      </c>
      <c r="C58" s="55" t="n">
        <f aca="false">IF($A58&gt;=C$4,0,(1-(1+'Stressed case'!$B$18)^-(C$4-$A58))/(1-(1+'Stressed case'!$B$18)^-C$4))</f>
        <v>0</v>
      </c>
      <c r="D58" s="55" t="n">
        <f aca="false">IF($A58&gt;=D$4,0,(1-(1+'Stressed case'!$B$18)^-(D$4-$A58))/(1-(1+'Stressed case'!$B$18)^-D$4))</f>
        <v>0</v>
      </c>
      <c r="E58" s="55" t="n">
        <f aca="false">IF($A58&gt;=E$4,0,(1-(1+'Stressed case'!$B$18)^-(E$4-$A58))/(1-(1+'Stressed case'!$B$18)^-E$4))</f>
        <v>0</v>
      </c>
      <c r="F58" s="55" t="n">
        <f aca="false">IF($A58&gt;=F$4,0,(1-(1+'Stressed case'!$B$18)^-(F$4-$A58))/(1-(1+'Stressed case'!$B$18)^-F$4))</f>
        <v>0.276413146943343</v>
      </c>
    </row>
    <row r="59" customFormat="false" ht="15" hidden="false" customHeight="false" outlineLevel="0" collapsed="false">
      <c r="A59" s="30" t="n">
        <v>46</v>
      </c>
      <c r="B59" s="54" t="n">
        <f aca="false">IF($A59&gt;=B$4,0,(1-(1+'Stressed case'!$B$18)^-(B$4-$A59))/(1-(1+'Stressed case'!$B$18)^-B$4))</f>
        <v>0</v>
      </c>
      <c r="C59" s="54" t="n">
        <f aca="false">IF($A59&gt;=C$4,0,(1-(1+'Stressed case'!$B$18)^-(C$4-$A59))/(1-(1+'Stressed case'!$B$18)^-C$4))</f>
        <v>0</v>
      </c>
      <c r="D59" s="54" t="n">
        <f aca="false">IF($A59&gt;=D$4,0,(1-(1+'Stressed case'!$B$18)^-(D$4-$A59))/(1-(1+'Stressed case'!$B$18)^-D$4))</f>
        <v>0</v>
      </c>
      <c r="E59" s="54" t="n">
        <f aca="false">IF($A59&gt;=E$4,0,(1-(1+'Stressed case'!$B$18)^-(E$4-$A59))/(1-(1+'Stressed case'!$B$18)^-E$4))</f>
        <v>0</v>
      </c>
      <c r="F59" s="54" t="n">
        <f aca="false">IF($A59&gt;=F$4,0,(1-(1+'Stressed case'!$B$18)^-(F$4-$A59))/(1-(1+'Stressed case'!$B$18)^-F$4))</f>
        <v>0.254999538166646</v>
      </c>
    </row>
    <row r="60" customFormat="false" ht="15" hidden="false" customHeight="false" outlineLevel="0" collapsed="false">
      <c r="A60" s="45" t="n">
        <v>47</v>
      </c>
      <c r="B60" s="55" t="n">
        <f aca="false">IF($A60&gt;=B$4,0,(1-(1+'Stressed case'!$B$18)^-(B$4-$A60))/(1-(1+'Stressed case'!$B$18)^-B$4))</f>
        <v>0</v>
      </c>
      <c r="C60" s="55" t="n">
        <f aca="false">IF($A60&gt;=C$4,0,(1-(1+'Stressed case'!$B$18)^-(C$4-$A60))/(1-(1+'Stressed case'!$B$18)^-C$4))</f>
        <v>0</v>
      </c>
      <c r="D60" s="55" t="n">
        <f aca="false">IF($A60&gt;=D$4,0,(1-(1+'Stressed case'!$B$18)^-(D$4-$A60))/(1-(1+'Stressed case'!$B$18)^-D$4))</f>
        <v>0</v>
      </c>
      <c r="E60" s="55" t="n">
        <f aca="false">IF($A60&gt;=E$4,0,(1-(1+'Stressed case'!$B$18)^-(E$4-$A60))/(1-(1+'Stressed case'!$B$18)^-E$4))</f>
        <v>0</v>
      </c>
      <c r="F60" s="55" t="n">
        <f aca="false">IF($A60&gt;=F$4,0,(1-(1+'Stressed case'!$B$18)^-(F$4-$A60))/(1-(1+'Stressed case'!$B$18)^-F$4))</f>
        <v>0.233303983541057</v>
      </c>
    </row>
    <row r="61" customFormat="false" ht="15" hidden="false" customHeight="false" outlineLevel="0" collapsed="false">
      <c r="A61" s="30" t="n">
        <v>48</v>
      </c>
      <c r="B61" s="54" t="n">
        <f aca="false">IF($A61&gt;=B$4,0,(1-(1+'Stressed case'!$B$18)^-(B$4-$A61))/(1-(1+'Stressed case'!$B$18)^-B$4))</f>
        <v>0</v>
      </c>
      <c r="C61" s="54" t="n">
        <f aca="false">IF($A61&gt;=C$4,0,(1-(1+'Stressed case'!$B$18)^-(C$4-$A61))/(1-(1+'Stressed case'!$B$18)^-C$4))</f>
        <v>0</v>
      </c>
      <c r="D61" s="54" t="n">
        <f aca="false">IF($A61&gt;=D$4,0,(1-(1+'Stressed case'!$B$18)^-(D$4-$A61))/(1-(1+'Stressed case'!$B$18)^-D$4))</f>
        <v>0</v>
      </c>
      <c r="E61" s="54" t="n">
        <f aca="false">IF($A61&gt;=E$4,0,(1-(1+'Stressed case'!$B$18)^-(E$4-$A61))/(1-(1+'Stressed case'!$B$18)^-E$4))</f>
        <v>0</v>
      </c>
      <c r="F61" s="54" t="n">
        <f aca="false">IF($A61&gt;=F$4,0,(1-(1+'Stressed case'!$B$18)^-(F$4-$A61))/(1-(1+'Stressed case'!$B$18)^-F$4))</f>
        <v>0.211322770779564</v>
      </c>
    </row>
    <row r="62" customFormat="false" ht="15" hidden="false" customHeight="false" outlineLevel="0" collapsed="false">
      <c r="A62" s="45" t="n">
        <v>49</v>
      </c>
      <c r="B62" s="55" t="n">
        <f aca="false">IF($A62&gt;=B$4,0,(1-(1+'Stressed case'!$B$18)^-(B$4-$A62))/(1-(1+'Stressed case'!$B$18)^-B$4))</f>
        <v>0</v>
      </c>
      <c r="C62" s="55" t="n">
        <f aca="false">IF($A62&gt;=C$4,0,(1-(1+'Stressed case'!$B$18)^-(C$4-$A62))/(1-(1+'Stressed case'!$B$18)^-C$4))</f>
        <v>0</v>
      </c>
      <c r="D62" s="55" t="n">
        <f aca="false">IF($A62&gt;=D$4,0,(1-(1+'Stressed case'!$B$18)^-(D$4-$A62))/(1-(1+'Stressed case'!$B$18)^-D$4))</f>
        <v>0</v>
      </c>
      <c r="E62" s="55" t="n">
        <f aca="false">IF($A62&gt;=E$4,0,(1-(1+'Stressed case'!$B$18)^-(E$4-$A62))/(1-(1+'Stressed case'!$B$18)^-E$4))</f>
        <v>0</v>
      </c>
      <c r="F62" s="55" t="n">
        <f aca="false">IF($A62&gt;=F$4,0,(1-(1+'Stressed case'!$B$18)^-(F$4-$A62))/(1-(1+'Stressed case'!$B$18)^-F$4))</f>
        <v>0.189052138716711</v>
      </c>
    </row>
    <row r="69" customFormat="false" ht="15" hidden="false" customHeight="false" outlineLevel="0" collapsed="false">
      <c r="A69" s="5" t="s">
        <v>264</v>
      </c>
    </row>
    <row r="70" customFormat="false" ht="27.75" hidden="false" customHeight="true" outlineLevel="0" collapsed="false">
      <c r="A70" s="13" t="s">
        <v>205</v>
      </c>
      <c r="B70" s="14" t="s">
        <v>259</v>
      </c>
      <c r="C70" s="14" t="s">
        <v>260</v>
      </c>
      <c r="D70" s="14" t="s">
        <v>261</v>
      </c>
      <c r="E70" s="14" t="s">
        <v>262</v>
      </c>
      <c r="F70" s="14" t="s">
        <v>263</v>
      </c>
    </row>
    <row r="71" customFormat="false" ht="15" hidden="false" customHeight="false" outlineLevel="0" collapsed="false">
      <c r="A71" s="30" t="n">
        <v>1</v>
      </c>
      <c r="B71" s="11" t="n">
        <f aca="false">MAX(0,(('Stressed case'!$B$5)-('Stressed case'!$B$5/'Stressed case'!$B$7*(1-B14)*IF(AND($A71&gt;='Stressed case'!$B$17,$A71&lt;'Stressed case'!$B$17+'Stressed case'!$B$16),1-'Stressed case'!$B$15,1)-'Stressed case'!$B$14*'Stressed case'!$B$5/'Stressed case'!$B$7*(1-B14))-(MAX(0,'Stressed case'!$B$5/'Stressed case'!$B$7*1*('Stressed case'!$B$11-'Stressed case'!$B$12)/12-('Stressed case'!$B$5)*'Stressed case'!$B$13/12))))/'Stressed case'!$B$5</f>
        <v>0.937683281790785</v>
      </c>
      <c r="C71" s="11" t="n">
        <f aca="false">MAX(0,(('Stressed case'!$B$5)-('Stressed case'!$B$5/'Stressed case'!$B$7*(1-C14)*IF(AND($A71&gt;='Stressed case'!$B$17,$A71&lt;'Stressed case'!$B$17+'Stressed case'!$B$16),1-'Stressed case'!$B$15,1)-'Stressed case'!$B$14*'Stressed case'!$B$5/'Stressed case'!$B$7*(1-C14))-(MAX(0,'Stressed case'!$B$5/'Stressed case'!$B$7*1*('Stressed case'!$B$11-'Stressed case'!$B$12)/12-('Stressed case'!$B$5)*'Stressed case'!$B$13/12))))/'Stressed case'!$B$5</f>
        <v>0.953146860408883</v>
      </c>
      <c r="D71" s="11" t="n">
        <f aca="false">MAX(0,(('Stressed case'!$B$5)-('Stressed case'!$B$5/'Stressed case'!$B$7*(1-D14)*IF(AND($A71&gt;='Stressed case'!$B$17,$A71&lt;'Stressed case'!$B$17+'Stressed case'!$B$16),1-'Stressed case'!$B$15,1)-'Stressed case'!$B$14*'Stressed case'!$B$5/'Stressed case'!$B$7*(1-D14))-(MAX(0,'Stressed case'!$B$5/'Stressed case'!$B$7*1*('Stressed case'!$B$11-'Stressed case'!$B$12)/12-('Stressed case'!$B$5)*'Stressed case'!$B$13/12))))/'Stressed case'!$B$5</f>
        <v>0.96357577567723</v>
      </c>
      <c r="E71" s="11" t="n">
        <f aca="false">MAX(0,(('Stressed case'!$B$5)-('Stressed case'!$B$5/'Stressed case'!$B$7*(1-E14)*IF(AND($A71&gt;='Stressed case'!$B$17,$A71&lt;'Stressed case'!$B$17+'Stressed case'!$B$16),1-'Stressed case'!$B$15,1)-'Stressed case'!$B$14*'Stressed case'!$B$5/'Stressed case'!$B$7*(1-E14))-(MAX(0,'Stressed case'!$B$5/'Stressed case'!$B$7*1*('Stressed case'!$B$11-'Stressed case'!$B$12)/12-('Stressed case'!$B$5)*'Stressed case'!$B$13/12))))/'Stressed case'!$B$5</f>
        <v>0.97156442099375</v>
      </c>
      <c r="F71" s="11" t="n">
        <f aca="false">MAX(0,(('Stressed case'!$B$5)-('Stressed case'!$B$5/'Stressed case'!$B$7*(1-F14)*IF(AND($A71&gt;='Stressed case'!$B$17,$A71&lt;'Stressed case'!$B$17+'Stressed case'!$B$16),1-'Stressed case'!$B$15,1)-'Stressed case'!$B$14*'Stressed case'!$B$5/'Stressed case'!$B$7*(1-F14))-(MAX(0,'Stressed case'!$B$5/'Stressed case'!$B$7*1*('Stressed case'!$B$11-'Stressed case'!$B$12)/12-('Stressed case'!$B$5)*'Stressed case'!$B$13/12))))/'Stressed case'!$B$5</f>
        <v>0.979651058129374</v>
      </c>
    </row>
    <row r="72" customFormat="false" ht="15" hidden="false" customHeight="false" outlineLevel="0" collapsed="false">
      <c r="A72" s="45" t="n">
        <v>2</v>
      </c>
      <c r="B72" s="56" t="n">
        <f aca="false">MAX(0,((B71*'Stressed case'!$B$5)-('Stressed case'!$B$5/'Stressed case'!$B$7*(B14-B15)*IF(AND($A72&gt;='Stressed case'!$B$17,$A72&lt;'Stressed case'!$B$17+'Stressed case'!$B$16),1-'Stressed case'!$B$15,1)-'Stressed case'!$B$14*'Stressed case'!$B$5/'Stressed case'!$B$7*(B14-B15))-(MAX(0,'Stressed case'!$B$5/'Stressed case'!$B$7*B14*('Stressed case'!$B$11-'Stressed case'!$B$12)/12-(B71*'Stressed case'!$B$5)*'Stressed case'!$B$13/12))))/'Stressed case'!$B$5</f>
        <v>0.87490017073376</v>
      </c>
      <c r="C72" s="56" t="n">
        <f aca="false">MAX(0,((C71*'Stressed case'!$B$5)-('Stressed case'!$B$5/'Stressed case'!$B$7*(C14-C15)*IF(AND($A72&gt;='Stressed case'!$B$17,$A72&lt;'Stressed case'!$B$17+'Stressed case'!$B$16),1-'Stressed case'!$B$15,1)-'Stressed case'!$B$14*'Stressed case'!$B$5/'Stressed case'!$B$7*(C14-C15))-(MAX(0,'Stressed case'!$B$5/'Stressed case'!$B$7*C14*('Stressed case'!$B$11-'Stressed case'!$B$12)/12-(C71*'Stressed case'!$B$5)*'Stressed case'!$B$13/12))))/'Stressed case'!$B$5</f>
        <v>0.905943445115141</v>
      </c>
      <c r="D72" s="56" t="n">
        <f aca="false">MAX(0,((D71*'Stressed case'!$B$5)-('Stressed case'!$B$5/'Stressed case'!$B$7*(D14-D15)*IF(AND($A72&gt;='Stressed case'!$B$17,$A72&lt;'Stressed case'!$B$17+'Stressed case'!$B$16),1-'Stressed case'!$B$15,1)-'Stressed case'!$B$14*'Stressed case'!$B$5/'Stressed case'!$B$7*(D14-D15))-(MAX(0,'Stressed case'!$B$5/'Stressed case'!$B$7*D14*('Stressed case'!$B$11-'Stressed case'!$B$12)/12-(D71*'Stressed case'!$B$5)*'Stressed case'!$B$13/12))))/'Stressed case'!$B$5</f>
        <v>0.92687958714093</v>
      </c>
      <c r="E72" s="56" t="n">
        <f aca="false">MAX(0,((E71*'Stressed case'!$B$5)-('Stressed case'!$B$5/'Stressed case'!$B$7*(E14-E15)*IF(AND($A72&gt;='Stressed case'!$B$17,$A72&lt;'Stressed case'!$B$17+'Stressed case'!$B$16),1-'Stressed case'!$B$15,1)-'Stressed case'!$B$14*'Stressed case'!$B$5/'Stressed case'!$B$7*(E14-E15))-(MAX(0,'Stressed case'!$B$5/'Stressed case'!$B$7*E14*('Stressed case'!$B$11-'Stressed case'!$B$12)/12-(E71*'Stressed case'!$B$5)*'Stressed case'!$B$13/12))))/'Stressed case'!$B$5</f>
        <v>0.942916865097149</v>
      </c>
      <c r="F72" s="56" t="n">
        <f aca="false">MAX(0,((F71*'Stressed case'!$B$5)-('Stressed case'!$B$5/'Stressed case'!$B$7*(F14-F15)*IF(AND($A72&gt;='Stressed case'!$B$17,$A72&lt;'Stressed case'!$B$17+'Stressed case'!$B$16),1-'Stressed case'!$B$15,1)-'Stressed case'!$B$14*'Stressed case'!$B$5/'Stressed case'!$B$7*(F14-F15))-(MAX(0,'Stressed case'!$B$5/'Stressed case'!$B$7*F14*('Stressed case'!$B$11-'Stressed case'!$B$12)/12-(F71*'Stressed case'!$B$5)*'Stressed case'!$B$13/12))))/'Stressed case'!$B$5</f>
        <v>0.959150862519326</v>
      </c>
    </row>
    <row r="73" customFormat="false" ht="15" hidden="false" customHeight="false" outlineLevel="0" collapsed="false">
      <c r="A73" s="30" t="n">
        <v>3</v>
      </c>
      <c r="B73" s="11" t="n">
        <f aca="false">MAX(0,((B72*'Stressed case'!$B$5)-('Stressed case'!$B$5/'Stressed case'!$B$7*(B15-B16)*IF(AND($A73&gt;='Stressed case'!$B$17,$A73&lt;'Stressed case'!$B$17+'Stressed case'!$B$16),1-'Stressed case'!$B$15,1)-'Stressed case'!$B$14*'Stressed case'!$B$5/'Stressed case'!$B$7*(B15-B16))-(MAX(0,'Stressed case'!$B$5/'Stressed case'!$B$7*B15*('Stressed case'!$B$11-'Stressed case'!$B$12)/12-(B72*'Stressed case'!$B$5)*'Stressed case'!$B$13/12))))/'Stressed case'!$B$5</f>
        <v>0.811647108046283</v>
      </c>
      <c r="C73" s="11" t="n">
        <f aca="false">MAX(0,((C72*'Stressed case'!$B$5)-('Stressed case'!$B$5/'Stressed case'!$B$7*(C15-C16)*IF(AND($A73&gt;='Stressed case'!$B$17,$A73&lt;'Stressed case'!$B$17+'Stressed case'!$B$16),1-'Stressed case'!$B$15,1)-'Stressed case'!$B$14*'Stressed case'!$B$5/'Stressed case'!$B$7*(C15-C16))-(MAX(0,'Stressed case'!$B$5/'Stressed case'!$B$7*C15*('Stressed case'!$B$11-'Stressed case'!$B$12)/12-(C72*'Stressed case'!$B$5)*'Stressed case'!$B$13/12))))/'Stressed case'!$B$5</f>
        <v>0.85838708628846</v>
      </c>
      <c r="D73" s="11" t="n">
        <f aca="false">MAX(0,((D72*'Stressed case'!$B$5)-('Stressed case'!$B$5/'Stressed case'!$B$7*(D15-D16)*IF(AND($A73&gt;='Stressed case'!$B$17,$A73&lt;'Stressed case'!$B$17+'Stressed case'!$B$16),1-'Stressed case'!$B$15,1)-'Stressed case'!$B$14*'Stressed case'!$B$5/'Stressed case'!$B$7*(D15-D16))-(MAX(0,'Stressed case'!$B$5/'Stressed case'!$B$7*D15*('Stressed case'!$B$11-'Stressed case'!$B$12)/12-(D72*'Stressed case'!$B$5)*'Stressed case'!$B$13/12))))/'Stressed case'!$B$5</f>
        <v>0.889909367435048</v>
      </c>
      <c r="E73" s="11" t="n">
        <f aca="false">MAX(0,((E72*'Stressed case'!$B$5)-('Stressed case'!$B$5/'Stressed case'!$B$7*(E15-E16)*IF(AND($A73&gt;='Stressed case'!$B$17,$A73&lt;'Stressed case'!$B$17+'Stressed case'!$B$16),1-'Stressed case'!$B$15,1)-'Stressed case'!$B$14*'Stressed case'!$B$5/'Stressed case'!$B$7*(E15-E16))-(MAX(0,'Stressed case'!$B$5/'Stressed case'!$B$7*E15*('Stressed case'!$B$11-'Stressed case'!$B$12)/12-(E72*'Stressed case'!$B$5)*'Stressed case'!$B$13/12))))/'Stressed case'!$B$5</f>
        <v>0.914055725629368</v>
      </c>
      <c r="F73" s="11" t="n">
        <f aca="false">MAX(0,((F72*'Stressed case'!$B$5)-('Stressed case'!$B$5/'Stressed case'!$B$7*(F15-F16)*IF(AND($A73&gt;='Stressed case'!$B$17,$A73&lt;'Stressed case'!$B$17+'Stressed case'!$B$16),1-'Stressed case'!$B$15,1)-'Stressed case'!$B$14*'Stressed case'!$B$5/'Stressed case'!$B$7*(F15-F16))-(MAX(0,'Stressed case'!$B$5/'Stressed case'!$B$7*F15*('Stressed case'!$B$11-'Stressed case'!$B$12)/12-(F72*'Stressed case'!$B$5)*'Stressed case'!$B$13/12))))/'Stressed case'!$B$5</f>
        <v>0.93849827241017</v>
      </c>
    </row>
    <row r="74" customFormat="false" ht="15" hidden="false" customHeight="false" outlineLevel="0" collapsed="false">
      <c r="A74" s="45" t="n">
        <v>4</v>
      </c>
      <c r="B74" s="56" t="n">
        <f aca="false">MAX(0,((B73*'Stressed case'!$B$5)-('Stressed case'!$B$5/'Stressed case'!$B$7*(B16-B17)*IF(AND($A74&gt;='Stressed case'!$B$17,$A74&lt;'Stressed case'!$B$17+'Stressed case'!$B$16),1-'Stressed case'!$B$15,1)-'Stressed case'!$B$14*'Stressed case'!$B$5/'Stressed case'!$B$7*(B16-B17))-(MAX(0,'Stressed case'!$B$5/'Stressed case'!$B$7*B16*('Stressed case'!$B$11-'Stressed case'!$B$12)/12-(B73*'Stressed case'!$B$5)*'Stressed case'!$B$13/12))))/'Stressed case'!$B$5</f>
        <v>0.747920506915902</v>
      </c>
      <c r="C74" s="56" t="n">
        <f aca="false">MAX(0,((C73*'Stressed case'!$B$5)-('Stressed case'!$B$5/'Stressed case'!$B$7*(C16-C17)*IF(AND($A74&gt;='Stressed case'!$B$17,$A74&lt;'Stressed case'!$B$17+'Stressed case'!$B$16),1-'Stressed case'!$B$15,1)-'Stressed case'!$B$14*'Stressed case'!$B$5/'Stressed case'!$B$7*(C16-C17))-(MAX(0,'Stressed case'!$B$5/'Stressed case'!$B$7*C16*('Stressed case'!$B$11-'Stressed case'!$B$12)/12-(C73*'Stressed case'!$B$5)*'Stressed case'!$B$13/12))))/'Stressed case'!$B$5</f>
        <v>0.810475095148065</v>
      </c>
      <c r="D74" s="56" t="n">
        <f aca="false">MAX(0,((D73*'Stressed case'!$B$5)-('Stressed case'!$B$5/'Stressed case'!$B$7*(D16-D17)*IF(AND($A74&gt;='Stressed case'!$B$17,$A74&lt;'Stressed case'!$B$17+'Stressed case'!$B$16),1-'Stressed case'!$B$15,1)-'Stressed case'!$B$14*'Stressed case'!$B$5/'Stressed case'!$B$7*(D16-D17))-(MAX(0,'Stressed case'!$B$5/'Stressed case'!$B$7*D16*('Stressed case'!$B$11-'Stressed case'!$B$12)/12-(D73*'Stressed case'!$B$5)*'Stressed case'!$B$13/12))))/'Stressed case'!$B$5</f>
        <v>0.852663033427505</v>
      </c>
      <c r="E74" s="56" t="n">
        <f aca="false">MAX(0,((E73*'Stressed case'!$B$5)-('Stressed case'!$B$5/'Stressed case'!$B$7*(E16-E17)*IF(AND($A74&gt;='Stressed case'!$B$17,$A74&lt;'Stressed case'!$B$17+'Stressed case'!$B$16),1-'Stressed case'!$B$15,1)-'Stressed case'!$B$14*'Stressed case'!$B$5/'Stressed case'!$B$7*(E16-E17))-(MAX(0,'Stressed case'!$B$5/'Stressed case'!$B$7*E16*('Stressed case'!$B$11-'Stressed case'!$B$12)/12-(E73*'Stressed case'!$B$5)*'Stressed case'!$B$13/12))))/'Stressed case'!$B$5</f>
        <v>0.884979383390822</v>
      </c>
      <c r="F74" s="56" t="n">
        <f aca="false">MAX(0,((F73*'Stressed case'!$B$5)-('Stressed case'!$B$5/'Stressed case'!$B$7*(F16-F17)*IF(AND($A74&gt;='Stressed case'!$B$17,$A74&lt;'Stressed case'!$B$17+'Stressed case'!$B$16),1-'Stressed case'!$B$15,1)-'Stressed case'!$B$14*'Stressed case'!$B$5/'Stressed case'!$B$7*(F16-F17))-(MAX(0,'Stressed case'!$B$5/'Stressed case'!$B$7*F16*('Stressed case'!$B$11-'Stressed case'!$B$12)/12-(F73*'Stressed case'!$B$5)*'Stressed case'!$B$13/12))))/'Stressed case'!$B$5</f>
        <v>0.917692138225583</v>
      </c>
    </row>
    <row r="75" customFormat="false" ht="15" hidden="false" customHeight="false" outlineLevel="0" collapsed="false">
      <c r="A75" s="30" t="n">
        <v>5</v>
      </c>
      <c r="B75" s="11" t="n">
        <f aca="false">MAX(0,((B74*'Stressed case'!$B$5)-('Stressed case'!$B$5/'Stressed case'!$B$7*(B17-B18)*IF(AND($A75&gt;='Stressed case'!$B$17,$A75&lt;'Stressed case'!$B$17+'Stressed case'!$B$16),1-'Stressed case'!$B$15,1)-'Stressed case'!$B$14*'Stressed case'!$B$5/'Stressed case'!$B$7*(B17-B18))-(MAX(0,'Stressed case'!$B$5/'Stressed case'!$B$7*B17*('Stressed case'!$B$11-'Stressed case'!$B$12)/12-(B74*'Stressed case'!$B$5)*'Stressed case'!$B$13/12))))/'Stressed case'!$B$5</f>
        <v>0.683716752268581</v>
      </c>
      <c r="C75" s="11" t="n">
        <f aca="false">MAX(0,((C74*'Stressed case'!$B$5)-('Stressed case'!$B$5/'Stressed case'!$B$7*(C17-C18)*IF(AND($A75&gt;='Stressed case'!$B$17,$A75&lt;'Stressed case'!$B$17+'Stressed case'!$B$16),1-'Stressed case'!$B$15,1)-'Stressed case'!$B$14*'Stressed case'!$B$5/'Stressed case'!$B$7*(C17-C18))-(MAX(0,'Stressed case'!$B$5/'Stressed case'!$B$7*C17*('Stressed case'!$B$11-'Stressed case'!$B$12)/12-(C74*'Stressed case'!$B$5)*'Stressed case'!$B$13/12))))/'Stressed case'!$B$5</f>
        <v>0.762204761790239</v>
      </c>
      <c r="D75" s="11" t="n">
        <f aca="false">MAX(0,((D74*'Stressed case'!$B$5)-('Stressed case'!$B$5/'Stressed case'!$B$7*(D17-D18)*IF(AND($A75&gt;='Stressed case'!$B$17,$A75&lt;'Stressed case'!$B$17+'Stressed case'!$B$16),1-'Stressed case'!$B$15,1)-'Stressed case'!$B$14*'Stressed case'!$B$5/'Stressed case'!$B$7*(D17-D18))-(MAX(0,'Stressed case'!$B$5/'Stressed case'!$B$7*D17*('Stressed case'!$B$11-'Stressed case'!$B$12)/12-(D74*'Stressed case'!$B$5)*'Stressed case'!$B$13/12))))/'Stressed case'!$B$5</f>
        <v>0.815138485677709</v>
      </c>
      <c r="E75" s="11" t="n">
        <f aca="false">MAX(0,((E74*'Stressed case'!$B$5)-('Stressed case'!$B$5/'Stressed case'!$B$7*(E17-E18)*IF(AND($A75&gt;='Stressed case'!$B$17,$A75&lt;'Stressed case'!$B$17+'Stressed case'!$B$16),1-'Stressed case'!$B$15,1)-'Stressed case'!$B$14*'Stressed case'!$B$5/'Stressed case'!$B$7*(E17-E18))-(MAX(0,'Stressed case'!$B$5/'Stressed case'!$B$7*E17*('Stressed case'!$B$11-'Stressed case'!$B$12)/12-(E74*'Stressed case'!$B$5)*'Stressed case'!$B$13/12))))/'Stressed case'!$B$5</f>
        <v>0.855686206561305</v>
      </c>
      <c r="F75" s="11" t="n">
        <f aca="false">MAX(0,((F74*'Stressed case'!$B$5)-('Stressed case'!$B$5/'Stressed case'!$B$7*(F17-F18)*IF(AND($A75&gt;='Stressed case'!$B$17,$A75&lt;'Stressed case'!$B$17+'Stressed case'!$B$16),1-'Stressed case'!$B$15,1)-'Stressed case'!$B$14*'Stressed case'!$B$5/'Stressed case'!$B$7*(F17-F18))-(MAX(0,'Stressed case'!$B$5/'Stressed case'!$B$7*F17*('Stressed case'!$B$11-'Stressed case'!$B$12)/12-(F74*'Stressed case'!$B$5)*'Stressed case'!$B$13/12))))/'Stressed case'!$B$5</f>
        <v>0.896731301501763</v>
      </c>
    </row>
    <row r="76" customFormat="false" ht="15" hidden="false" customHeight="false" outlineLevel="0" collapsed="false">
      <c r="A76" s="45" t="n">
        <v>6</v>
      </c>
      <c r="B76" s="56" t="n">
        <f aca="false">MAX(0,((B75*'Stressed case'!$B$5)-('Stressed case'!$B$5/'Stressed case'!$B$7*(B18-B19)*IF(AND($A76&gt;='Stressed case'!$B$17,$A76&lt;'Stressed case'!$B$17+'Stressed case'!$B$16),1-'Stressed case'!$B$15,1)-'Stressed case'!$B$14*'Stressed case'!$B$5/'Stressed case'!$B$7*(B18-B19))-(MAX(0,'Stressed case'!$B$5/'Stressed case'!$B$7*B18*('Stressed case'!$B$11-'Stressed case'!$B$12)/12-(B75*'Stressed case'!$B$5)*'Stressed case'!$B$13/12))))/'Stressed case'!$B$5</f>
        <v>0.628375861533746</v>
      </c>
      <c r="C76" s="56" t="n">
        <f aca="false">MAX(0,((C75*'Stressed case'!$B$5)-('Stressed case'!$B$5/'Stressed case'!$B$7*(C18-C19)*IF(AND($A76&gt;='Stressed case'!$B$17,$A76&lt;'Stressed case'!$B$17+'Stressed case'!$B$16),1-'Stressed case'!$B$15,1)-'Stressed case'!$B$14*'Stressed case'!$B$5/'Stressed case'!$B$7*(C18-C19))-(MAX(0,'Stressed case'!$B$5/'Stressed case'!$B$7*C18*('Stressed case'!$B$11-'Stressed case'!$B$12)/12-(C75*'Stressed case'!$B$5)*'Stressed case'!$B$13/12))))/'Stressed case'!$B$5</f>
        <v>0.720299347830033</v>
      </c>
      <c r="D76" s="56" t="n">
        <f aca="false">MAX(0,((D75*'Stressed case'!$B$5)-('Stressed case'!$B$5/'Stressed case'!$B$7*(D18-D19)*IF(AND($A76&gt;='Stressed case'!$B$17,$A76&lt;'Stressed case'!$B$17+'Stressed case'!$B$16),1-'Stressed case'!$B$15,1)-'Stressed case'!$B$14*'Stressed case'!$B$5/'Stressed case'!$B$7*(D18-D19))-(MAX(0,'Stressed case'!$B$5/'Stressed case'!$B$7*D18*('Stressed case'!$B$11-'Stressed case'!$B$12)/12-(D75*'Stressed case'!$B$5)*'Stressed case'!$B$13/12))))/'Stressed case'!$B$5</f>
        <v>0.782294198661849</v>
      </c>
      <c r="E76" s="56" t="n">
        <f aca="false">MAX(0,((E75*'Stressed case'!$B$5)-('Stressed case'!$B$5/'Stressed case'!$B$7*(E18-E19)*IF(AND($A76&gt;='Stressed case'!$B$17,$A76&lt;'Stressed case'!$B$17+'Stressed case'!$B$16),1-'Stressed case'!$B$15,1)-'Stressed case'!$B$14*'Stressed case'!$B$5/'Stressed case'!$B$7*(E18-E19))-(MAX(0,'Stressed case'!$B$5/'Stressed case'!$B$7*E18*('Stressed case'!$B$11-'Stressed case'!$B$12)/12-(E75*'Stressed case'!$B$5)*'Stressed case'!$B$13/12))))/'Stressed case'!$B$5</f>
        <v>0.829782826386067</v>
      </c>
      <c r="F76" s="56" t="n">
        <f aca="false">MAX(0,((F75*'Stressed case'!$B$5)-('Stressed case'!$B$5/'Stressed case'!$B$7*(F18-F19)*IF(AND($A76&gt;='Stressed case'!$B$17,$A76&lt;'Stressed case'!$B$17+'Stressed case'!$B$16),1-'Stressed case'!$B$15,1)-'Stressed case'!$B$14*'Stressed case'!$B$5/'Stressed case'!$B$7*(F18-F19))-(MAX(0,'Stressed case'!$B$5/'Stressed case'!$B$7*F18*('Stressed case'!$B$11-'Stressed case'!$B$12)/12-(F75*'Stressed case'!$B$5)*'Stressed case'!$B$13/12))))/'Stressed case'!$B$5</f>
        <v>0.8778539680201</v>
      </c>
    </row>
    <row r="77" customFormat="false" ht="15" hidden="false" customHeight="false" outlineLevel="0" collapsed="false">
      <c r="A77" s="30" t="n">
        <v>7</v>
      </c>
      <c r="B77" s="11" t="n">
        <f aca="false">MAX(0,((B76*'Stressed case'!$B$5)-('Stressed case'!$B$5/'Stressed case'!$B$7*(B19-B20)*IF(AND($A77&gt;='Stressed case'!$B$17,$A77&lt;'Stressed case'!$B$17+'Stressed case'!$B$16),1-'Stressed case'!$B$15,1)-'Stressed case'!$B$14*'Stressed case'!$B$5/'Stressed case'!$B$7*(B19-B20))-(MAX(0,'Stressed case'!$B$5/'Stressed case'!$B$7*B19*('Stressed case'!$B$11-'Stressed case'!$B$12)/12-(B76*'Stressed case'!$B$5)*'Stressed case'!$B$13/12))))/'Stressed case'!$B$5</f>
        <v>0.572741657143041</v>
      </c>
      <c r="C77" s="11" t="n">
        <f aca="false">MAX(0,((C76*'Stressed case'!$B$5)-('Stressed case'!$B$5/'Stressed case'!$B$7*(C19-C20)*IF(AND($A77&gt;='Stressed case'!$B$17,$A77&lt;'Stressed case'!$B$17+'Stressed case'!$B$16),1-'Stressed case'!$B$15,1)-'Stressed case'!$B$14*'Stressed case'!$B$5/'Stressed case'!$B$7*(C19-C20))-(MAX(0,'Stressed case'!$B$5/'Stressed case'!$B$7*C19*('Stressed case'!$B$11-'Stressed case'!$B$12)/12-(C76*'Stressed case'!$B$5)*'Stressed case'!$B$13/12))))/'Stressed case'!$B$5</f>
        <v>0.678167710381624</v>
      </c>
      <c r="D77" s="11" t="n">
        <f aca="false">MAX(0,((D76*'Stressed case'!$B$5)-('Stressed case'!$B$5/'Stressed case'!$B$7*(D19-D20)*IF(AND($A77&gt;='Stressed case'!$B$17,$A77&lt;'Stressed case'!$B$17+'Stressed case'!$B$16),1-'Stressed case'!$B$15,1)-'Stressed case'!$B$14*'Stressed case'!$B$5/'Stressed case'!$B$7*(D19-D20))-(MAX(0,'Stressed case'!$B$5/'Stressed case'!$B$7*D19*('Stressed case'!$B$11-'Stressed case'!$B$12)/12-(D76*'Stressed case'!$B$5)*'Stressed case'!$B$13/12))))/'Stressed case'!$B$5</f>
        <v>0.749268934972331</v>
      </c>
      <c r="E77" s="11" t="n">
        <f aca="false">MAX(0,((E76*'Stressed case'!$B$5)-('Stressed case'!$B$5/'Stressed case'!$B$7*(E19-E20)*IF(AND($A77&gt;='Stressed case'!$B$17,$A77&lt;'Stressed case'!$B$17+'Stressed case'!$B$16),1-'Stressed case'!$B$15,1)-'Stressed case'!$B$14*'Stressed case'!$B$5/'Stressed case'!$B$7*(E19-E20))-(MAX(0,'Stressed case'!$B$5/'Stressed case'!$B$7*E19*('Stressed case'!$B$11-'Stressed case'!$B$12)/12-(E76*'Stressed case'!$B$5)*'Stressed case'!$B$13/12))))/'Stressed case'!$B$5</f>
        <v>0.803733129014578</v>
      </c>
      <c r="F77" s="11" t="n">
        <f aca="false">MAX(0,((F76*'Stressed case'!$B$5)-('Stressed case'!$B$5/'Stressed case'!$B$7*(F19-F20)*IF(AND($A77&gt;='Stressed case'!$B$17,$A77&lt;'Stressed case'!$B$17+'Stressed case'!$B$16),1-'Stressed case'!$B$15,1)-'Stressed case'!$B$14*'Stressed case'!$B$5/'Stressed case'!$B$7*(F19-F20))-(MAX(0,'Stressed case'!$B$5/'Stressed case'!$B$7*F19*('Stressed case'!$B$11-'Stressed case'!$B$12)/12-(F76*'Stressed case'!$B$5)*'Stressed case'!$B$13/12))))/'Stressed case'!$B$5</f>
        <v>0.858865401966173</v>
      </c>
    </row>
    <row r="78" customFormat="false" ht="15" hidden="false" customHeight="false" outlineLevel="0" collapsed="false">
      <c r="A78" s="45" t="n">
        <v>8</v>
      </c>
      <c r="B78" s="56" t="n">
        <f aca="false">MAX(0,((B77*'Stressed case'!$B$5)-('Stressed case'!$B$5/'Stressed case'!$B$7*(B20-B21)*IF(AND($A78&gt;='Stressed case'!$B$17,$A78&lt;'Stressed case'!$B$17+'Stressed case'!$B$16),1-'Stressed case'!$B$15,1)-'Stressed case'!$B$14*'Stressed case'!$B$5/'Stressed case'!$B$7*(B20-B21))-(MAX(0,'Stressed case'!$B$5/'Stressed case'!$B$7*B20*('Stressed case'!$B$11-'Stressed case'!$B$12)/12-(B77*'Stressed case'!$B$5)*'Stressed case'!$B$13/12))))/'Stressed case'!$B$5</f>
        <v>0.507222120931784</v>
      </c>
      <c r="C78" s="56" t="n">
        <f aca="false">MAX(0,((C77*'Stressed case'!$B$5)-('Stressed case'!$B$5/'Stressed case'!$B$7*(C20-C21)*IF(AND($A78&gt;='Stressed case'!$B$17,$A78&lt;'Stressed case'!$B$17+'Stressed case'!$B$16),1-'Stressed case'!$B$15,1)-'Stressed case'!$B$14*'Stressed case'!$B$5/'Stressed case'!$B$7*(C20-C21))-(MAX(0,'Stressed case'!$B$5/'Stressed case'!$B$7*C20*('Stressed case'!$B$11-'Stressed case'!$B$12)/12-(C77*'Stressed case'!$B$5)*'Stressed case'!$B$13/12))))/'Stressed case'!$B$5</f>
        <v>0.62890496784812</v>
      </c>
      <c r="D78" s="56" t="n">
        <f aca="false">MAX(0,((D77*'Stressed case'!$B$5)-('Stressed case'!$B$5/'Stressed case'!$B$7*(D20-D21)*IF(AND($A78&gt;='Stressed case'!$B$17,$A78&lt;'Stressed case'!$B$17+'Stressed case'!$B$16),1-'Stressed case'!$B$15,1)-'Stressed case'!$B$14*'Stressed case'!$B$5/'Stressed case'!$B$7*(D20-D21))-(MAX(0,'Stressed case'!$B$5/'Stressed case'!$B$7*D20*('Stressed case'!$B$11-'Stressed case'!$B$12)/12-(D77*'Stressed case'!$B$5)*'Stressed case'!$B$13/12))))/'Stressed case'!$B$5</f>
        <v>0.710970066195828</v>
      </c>
      <c r="E78" s="56" t="n">
        <f aca="false">MAX(0,((E77*'Stressed case'!$B$5)-('Stressed case'!$B$5/'Stressed case'!$B$7*(E20-E21)*IF(AND($A78&gt;='Stressed case'!$B$17,$A78&lt;'Stressed case'!$B$17+'Stressed case'!$B$16),1-'Stressed case'!$B$15,1)-'Stressed case'!$B$14*'Stressed case'!$B$5/'Stressed case'!$B$7*(E20-E21))-(MAX(0,'Stressed case'!$B$5/'Stressed case'!$B$7*E20*('Stressed case'!$B$11-'Stressed case'!$B$12)/12-(E77*'Stressed case'!$B$5)*'Stressed case'!$B$13/12))))/'Stressed case'!$B$5</f>
        <v>0.773832688692624</v>
      </c>
      <c r="F78" s="56" t="n">
        <f aca="false">MAX(0,((F77*'Stressed case'!$B$5)-('Stressed case'!$B$5/'Stressed case'!$B$7*(F20-F21)*IF(AND($A78&gt;='Stressed case'!$B$17,$A78&lt;'Stressed case'!$B$17+'Stressed case'!$B$16),1-'Stressed case'!$B$15,1)-'Stressed case'!$B$14*'Stressed case'!$B$5/'Stressed case'!$B$7*(F20-F21))-(MAX(0,'Stressed case'!$B$5/'Stressed case'!$B$7*F20*('Stressed case'!$B$11-'Stressed case'!$B$12)/12-(F77*'Stressed case'!$B$5)*'Stressed case'!$B$13/12))))/'Stressed case'!$B$5</f>
        <v>0.837466408476639</v>
      </c>
    </row>
    <row r="79" customFormat="false" ht="15" hidden="false" customHeight="false" outlineLevel="0" collapsed="false">
      <c r="A79" s="30" t="n">
        <v>9</v>
      </c>
      <c r="B79" s="11" t="n">
        <f aca="false">MAX(0,((B78*'Stressed case'!$B$5)-('Stressed case'!$B$5/'Stressed case'!$B$7*(B21-B22)*IF(AND($A79&gt;='Stressed case'!$B$17,$A79&lt;'Stressed case'!$B$17+'Stressed case'!$B$16),1-'Stressed case'!$B$15,1)-'Stressed case'!$B$14*'Stressed case'!$B$5/'Stressed case'!$B$7*(B21-B22))-(MAX(0,'Stressed case'!$B$5/'Stressed case'!$B$7*B21*('Stressed case'!$B$11-'Stressed case'!$B$12)/12-(B78*'Stressed case'!$B$5)*'Stressed case'!$B$13/12))))/'Stressed case'!$B$5</f>
        <v>0.441211687322411</v>
      </c>
      <c r="C79" s="11" t="n">
        <f aca="false">MAX(0,((C78*'Stressed case'!$B$5)-('Stressed case'!$B$5/'Stressed case'!$B$7*(C21-C22)*IF(AND($A79&gt;='Stressed case'!$B$17,$A79&lt;'Stressed case'!$B$17+'Stressed case'!$B$16),1-'Stressed case'!$B$15,1)-'Stressed case'!$B$14*'Stressed case'!$B$5/'Stressed case'!$B$7*(C21-C22))-(MAX(0,'Stressed case'!$B$5/'Stressed case'!$B$7*C21*('Stressed case'!$B$11-'Stressed case'!$B$12)/12-(C78*'Stressed case'!$B$5)*'Stressed case'!$B$13/12))))/'Stressed case'!$B$5</f>
        <v>0.579273551286544</v>
      </c>
      <c r="D79" s="11" t="n">
        <f aca="false">MAX(0,((D78*'Stressed case'!$B$5)-('Stressed case'!$B$5/'Stressed case'!$B$7*(D21-D22)*IF(AND($A79&gt;='Stressed case'!$B$17,$A79&lt;'Stressed case'!$B$17+'Stressed case'!$B$16),1-'Stressed case'!$B$15,1)-'Stressed case'!$B$14*'Stressed case'!$B$5/'Stressed case'!$B$7*(D21-D22))-(MAX(0,'Stressed case'!$B$5/'Stressed case'!$B$7*D21*('Stressed case'!$B$11-'Stressed case'!$B$12)/12-(D78*'Stressed case'!$B$5)*'Stressed case'!$B$13/12))))/'Stressed case'!$B$5</f>
        <v>0.672384953028109</v>
      </c>
      <c r="E79" s="11" t="n">
        <f aca="false">MAX(0,((E78*'Stressed case'!$B$5)-('Stressed case'!$B$5/'Stressed case'!$B$7*(E21-E22)*IF(AND($A79&gt;='Stressed case'!$B$17,$A79&lt;'Stressed case'!$B$17+'Stressed case'!$B$16),1-'Stressed case'!$B$15,1)-'Stressed case'!$B$14*'Stressed case'!$B$5/'Stressed case'!$B$7*(E21-E22))-(MAX(0,'Stressed case'!$B$5/'Stressed case'!$B$7*E21*('Stressed case'!$B$11-'Stressed case'!$B$12)/12-(E78*'Stressed case'!$B$5)*'Stressed case'!$B$13/12))))/'Stressed case'!$B$5</f>
        <v>0.743709145841815</v>
      </c>
      <c r="F79" s="11" t="n">
        <f aca="false">MAX(0,((F78*'Stressed case'!$B$5)-('Stressed case'!$B$5/'Stressed case'!$B$7*(F21-F22)*IF(AND($A79&gt;='Stressed case'!$B$17,$A79&lt;'Stressed case'!$B$17+'Stressed case'!$B$16),1-'Stressed case'!$B$15,1)-'Stressed case'!$B$14*'Stressed case'!$B$5/'Stressed case'!$B$7*(F21-F22))-(MAX(0,'Stressed case'!$B$5/'Stressed case'!$B$7*F21*('Stressed case'!$B$11-'Stressed case'!$B$12)/12-(F78*'Stressed case'!$B$5)*'Stressed case'!$B$13/12))))/'Stressed case'!$B$5</f>
        <v>0.815908228843159</v>
      </c>
    </row>
    <row r="80" customFormat="false" ht="15" hidden="false" customHeight="false" outlineLevel="0" collapsed="false">
      <c r="A80" s="45" t="n">
        <v>10</v>
      </c>
      <c r="B80" s="56" t="n">
        <f aca="false">MAX(0,((B79*'Stressed case'!$B$5)-('Stressed case'!$B$5/'Stressed case'!$B$7*(B22-B23)*IF(AND($A80&gt;='Stressed case'!$B$17,$A80&lt;'Stressed case'!$B$17+'Stressed case'!$B$16),1-'Stressed case'!$B$15,1)-'Stressed case'!$B$14*'Stressed case'!$B$5/'Stressed case'!$B$7*(B22-B23))-(MAX(0,'Stressed case'!$B$5/'Stressed case'!$B$7*B22*('Stressed case'!$B$11-'Stressed case'!$B$12)/12-(B79*'Stressed case'!$B$5)*'Stressed case'!$B$13/12))))/'Stressed case'!$B$5</f>
        <v>0.374706603702791</v>
      </c>
      <c r="C80" s="56" t="n">
        <f aca="false">MAX(0,((C79*'Stressed case'!$B$5)-('Stressed case'!$B$5/'Stressed case'!$B$7*(C22-C23)*IF(AND($A80&gt;='Stressed case'!$B$17,$A80&lt;'Stressed case'!$B$17+'Stressed case'!$B$16),1-'Stressed case'!$B$15,1)-'Stressed case'!$B$14*'Stressed case'!$B$5/'Stressed case'!$B$7*(C22-C23))-(MAX(0,'Stressed case'!$B$5/'Stressed case'!$B$7*C22*('Stressed case'!$B$11-'Stressed case'!$B$12)/12-(C79*'Stressed case'!$B$5)*'Stressed case'!$B$13/12))))/'Stressed case'!$B$5</f>
        <v>0.529270647806123</v>
      </c>
      <c r="D80" s="56" t="n">
        <f aca="false">MAX(0,((D79*'Stressed case'!$B$5)-('Stressed case'!$B$5/'Stressed case'!$B$7*(D22-D23)*IF(AND($A80&gt;='Stressed case'!$B$17,$A80&lt;'Stressed case'!$B$17+'Stressed case'!$B$16),1-'Stressed case'!$B$15,1)-'Stressed case'!$B$14*'Stressed case'!$B$5/'Stressed case'!$B$7*(D22-D23))-(MAX(0,'Stressed case'!$B$5/'Stressed case'!$B$7*D22*('Stressed case'!$B$11-'Stressed case'!$B$12)/12-(D79*'Stressed case'!$B$5)*'Stressed case'!$B$13/12))))/'Stressed case'!$B$5</f>
        <v>0.633511416343373</v>
      </c>
      <c r="E80" s="56" t="n">
        <f aca="false">MAX(0,((E79*'Stressed case'!$B$5)-('Stressed case'!$B$5/'Stressed case'!$B$7*(E22-E23)*IF(AND($A80&gt;='Stressed case'!$B$17,$A80&lt;'Stressed case'!$B$17+'Stressed case'!$B$16),1-'Stressed case'!$B$15,1)-'Stressed case'!$B$14*'Stressed case'!$B$5/'Stressed case'!$B$7*(E22-E23))-(MAX(0,'Stressed case'!$B$5/'Stressed case'!$B$7*E22*('Stressed case'!$B$11-'Stressed case'!$B$12)/12-(E79*'Stressed case'!$B$5)*'Stressed case'!$B$13/12))))/'Stressed case'!$B$5</f>
        <v>0.71336080680616</v>
      </c>
      <c r="F80" s="56" t="n">
        <f aca="false">MAX(0,((F79*'Stressed case'!$B$5)-('Stressed case'!$B$5/'Stressed case'!$B$7*(F22-F23)*IF(AND($A80&gt;='Stressed case'!$B$17,$A80&lt;'Stressed case'!$B$17+'Stressed case'!$B$16),1-'Stressed case'!$B$15,1)-'Stressed case'!$B$14*'Stressed case'!$B$5/'Stressed case'!$B$7*(F22-F23))-(MAX(0,'Stressed case'!$B$5/'Stressed case'!$B$7*F22*('Stressed case'!$B$11-'Stressed case'!$B$12)/12-(F79*'Stressed case'!$B$5)*'Stressed case'!$B$13/12))))/'Stressed case'!$B$5</f>
        <v>0.794189660834517</v>
      </c>
    </row>
    <row r="81" customFormat="false" ht="15" hidden="false" customHeight="false" outlineLevel="0" collapsed="false">
      <c r="A81" s="30" t="n">
        <v>11</v>
      </c>
      <c r="B81" s="11" t="n">
        <f aca="false">MAX(0,((B80*'Stressed case'!$B$5)-('Stressed case'!$B$5/'Stressed case'!$B$7*(B23-B24)*IF(AND($A81&gt;='Stressed case'!$B$17,$A81&lt;'Stressed case'!$B$17+'Stressed case'!$B$16),1-'Stressed case'!$B$15,1)-'Stressed case'!$B$14*'Stressed case'!$B$5/'Stressed case'!$B$7*(B23-B24))-(MAX(0,'Stressed case'!$B$5/'Stressed case'!$B$7*B23*('Stressed case'!$B$11-'Stressed case'!$B$12)/12-(B80*'Stressed case'!$B$5)*'Stressed case'!$B$13/12))))/'Stressed case'!$B$5</f>
        <v>0.307703087818164</v>
      </c>
      <c r="C81" s="11" t="n">
        <f aca="false">MAX(0,((C80*'Stressed case'!$B$5)-('Stressed case'!$B$5/'Stressed case'!$B$7*(C23-C24)*IF(AND($A81&gt;='Stressed case'!$B$17,$A81&lt;'Stressed case'!$B$17+'Stressed case'!$B$16),1-'Stressed case'!$B$15,1)-'Stressed case'!$B$14*'Stressed case'!$B$5/'Stressed case'!$B$7*(C23-C24))-(MAX(0,'Stressed case'!$B$5/'Stressed case'!$B$7*C23*('Stressed case'!$B$11-'Stressed case'!$B$12)/12-(C80*'Stressed case'!$B$5)*'Stressed case'!$B$13/12))))/'Stressed case'!$B$5</f>
        <v>0.478893422364297</v>
      </c>
      <c r="D81" s="11" t="n">
        <f aca="false">MAX(0,((D80*'Stressed case'!$B$5)-('Stressed case'!$B$5/'Stressed case'!$B$7*(D23-D24)*IF(AND($A81&gt;='Stressed case'!$B$17,$A81&lt;'Stressed case'!$B$17+'Stressed case'!$B$16),1-'Stressed case'!$B$15,1)-'Stressed case'!$B$14*'Stressed case'!$B$5/'Stressed case'!$B$7*(D23-D24))-(MAX(0,'Stressed case'!$B$5/'Stressed case'!$B$7*D23*('Stressed case'!$B$11-'Stressed case'!$B$12)/12-(D80*'Stressed case'!$B$5)*'Stressed case'!$B$13/12))))/'Stressed case'!$B$5</f>
        <v>0.594347259915982</v>
      </c>
      <c r="E81" s="11" t="n">
        <f aca="false">MAX(0,((E80*'Stressed case'!$B$5)-('Stressed case'!$B$5/'Stressed case'!$B$7*(E23-E24)*IF(AND($A81&gt;='Stressed case'!$B$17,$A81&lt;'Stressed case'!$B$17+'Stressed case'!$B$16),1-'Stressed case'!$B$15,1)-'Stressed case'!$B$14*'Stressed case'!$B$5/'Stressed case'!$B$7*(E23-E24))-(MAX(0,'Stressed case'!$B$5/'Stressed case'!$B$7*E23*('Stressed case'!$B$11-'Stressed case'!$B$12)/12-(E80*'Stressed case'!$B$5)*'Stressed case'!$B$13/12))))/'Stressed case'!$B$5</f>
        <v>0.682785964699681</v>
      </c>
      <c r="F81" s="11" t="n">
        <f aca="false">MAX(0,((F80*'Stressed case'!$B$5)-('Stressed case'!$B$5/'Stressed case'!$B$7*(F23-F24)*IF(AND($A81&gt;='Stressed case'!$B$17,$A81&lt;'Stressed case'!$B$17+'Stressed case'!$B$16),1-'Stressed case'!$B$15,1)-'Stressed case'!$B$14*'Stressed case'!$B$5/'Stressed case'!$B$7*(F23-F24))-(MAX(0,'Stressed case'!$B$5/'Stressed case'!$B$7*F23*('Stressed case'!$B$11-'Stressed case'!$B$12)/12-(F80*'Stressed case'!$B$5)*'Stressed case'!$B$13/12))))/'Stressed case'!$B$5</f>
        <v>0.772309492906826</v>
      </c>
    </row>
    <row r="82" customFormat="false" ht="15" hidden="false" customHeight="false" outlineLevel="0" collapsed="false">
      <c r="A82" s="45" t="n">
        <v>12</v>
      </c>
      <c r="B82" s="56" t="n">
        <f aca="false">MAX(0,((B81*'Stressed case'!$B$5)-('Stressed case'!$B$5/'Stressed case'!$B$7*(B24-B25)*IF(AND($A82&gt;='Stressed case'!$B$17,$A82&lt;'Stressed case'!$B$17+'Stressed case'!$B$16),1-'Stressed case'!$B$15,1)-'Stressed case'!$B$14*'Stressed case'!$B$5/'Stressed case'!$B$7*(B24-B25))-(MAX(0,'Stressed case'!$B$5/'Stressed case'!$B$7*B24*('Stressed case'!$B$11-'Stressed case'!$B$12)/12-(B81*'Stressed case'!$B$5)*'Stressed case'!$B$13/12))))/'Stressed case'!$B$5</f>
        <v>0.240197327524977</v>
      </c>
      <c r="C82" s="56" t="n">
        <f aca="false">MAX(0,((C81*'Stressed case'!$B$5)-('Stressed case'!$B$5/'Stressed case'!$B$7*(C24-C25)*IF(AND($A82&gt;='Stressed case'!$B$17,$A82&lt;'Stressed case'!$B$17+'Stressed case'!$B$16),1-'Stressed case'!$B$15,1)-'Stressed case'!$B$14*'Stressed case'!$B$5/'Stressed case'!$B$7*(C24-C25))-(MAX(0,'Stressed case'!$B$5/'Stressed case'!$B$7*C24*('Stressed case'!$B$11-'Stressed case'!$B$12)/12-(C81*'Stressed case'!$B$5)*'Stressed case'!$B$13/12))))/'Stressed case'!$B$5</f>
        <v>0.42813901758358</v>
      </c>
      <c r="D82" s="56" t="n">
        <f aca="false">MAX(0,((D81*'Stressed case'!$B$5)-('Stressed case'!$B$5/'Stressed case'!$B$7*(D24-D25)*IF(AND($A82&gt;='Stressed case'!$B$17,$A82&lt;'Stressed case'!$B$17+'Stressed case'!$B$16),1-'Stressed case'!$B$15,1)-'Stressed case'!$B$14*'Stressed case'!$B$5/'Stressed case'!$B$7*(D24-D25))-(MAX(0,'Stressed case'!$B$5/'Stressed case'!$B$7*D24*('Stressed case'!$B$11-'Stressed case'!$B$12)/12-(D81*'Stressed case'!$B$5)*'Stressed case'!$B$13/12))))/'Stressed case'!$B$5</f>
        <v>0.554890270279846</v>
      </c>
      <c r="E82" s="56" t="n">
        <f aca="false">MAX(0,((E81*'Stressed case'!$B$5)-('Stressed case'!$B$5/'Stressed case'!$B$7*(E24-E25)*IF(AND($A82&gt;='Stressed case'!$B$17,$A82&lt;'Stressed case'!$B$17+'Stressed case'!$B$16),1-'Stressed case'!$B$15,1)-'Stressed case'!$B$14*'Stressed case'!$B$5/'Stressed case'!$B$7*(E24-E25))-(MAX(0,'Stressed case'!$B$5/'Stressed case'!$B$7*E24*('Stressed case'!$B$11-'Stressed case'!$B$12)/12-(E81*'Stressed case'!$B$5)*'Stressed case'!$B$13/12))))/'Stressed case'!$B$5</f>
        <v>0.651982899298356</v>
      </c>
      <c r="F82" s="56" t="n">
        <f aca="false">MAX(0,((F81*'Stressed case'!$B$5)-('Stressed case'!$B$5/'Stressed case'!$B$7*(F24-F25)*IF(AND($A82&gt;='Stressed case'!$B$17,$A82&lt;'Stressed case'!$B$17+'Stressed case'!$B$16),1-'Stressed case'!$B$15,1)-'Stressed case'!$B$14*'Stressed case'!$B$5/'Stressed case'!$B$7*(F24-F25))-(MAX(0,'Stressed case'!$B$5/'Stressed case'!$B$7*F24*('Stressed case'!$B$11-'Stressed case'!$B$12)/12-(F81*'Stressed case'!$B$5)*'Stressed case'!$B$13/12))))/'Stressed case'!$B$5</f>
        <v>0.750266504128427</v>
      </c>
    </row>
    <row r="83" customFormat="false" ht="15" hidden="false" customHeight="false" outlineLevel="0" collapsed="false">
      <c r="A83" s="30" t="n">
        <v>13</v>
      </c>
      <c r="B83" s="11" t="n">
        <f aca="false">MAX(0,((B82*'Stressed case'!$B$5)-('Stressed case'!$B$5/'Stressed case'!$B$7*(B25-B26)*IF(AND($A83&gt;='Stressed case'!$B$17,$A83&lt;'Stressed case'!$B$17+'Stressed case'!$B$16),1-'Stressed case'!$B$15,1)-'Stressed case'!$B$14*'Stressed case'!$B$5/'Stressed case'!$B$7*(B25-B26))-(MAX(0,'Stressed case'!$B$5/'Stressed case'!$B$7*B25*('Stressed case'!$B$11-'Stressed case'!$B$12)/12-(B82*'Stressed case'!$B$5)*'Stressed case'!$B$13/12))))/'Stressed case'!$B$5</f>
        <v>0.172185480542531</v>
      </c>
      <c r="C83" s="11" t="n">
        <f aca="false">MAX(0,((C82*'Stressed case'!$B$5)-('Stressed case'!$B$5/'Stressed case'!$B$7*(C25-C26)*IF(AND($A83&gt;='Stressed case'!$B$17,$A83&lt;'Stressed case'!$B$17+'Stressed case'!$B$16),1-'Stressed case'!$B$15,1)-'Stressed case'!$B$14*'Stressed case'!$B$5/'Stressed case'!$B$7*(C25-C26))-(MAX(0,'Stressed case'!$B$5/'Stressed case'!$B$7*C25*('Stressed case'!$B$11-'Stressed case'!$B$12)/12-(C82*'Stressed case'!$B$5)*'Stressed case'!$B$13/12))))/'Stressed case'!$B$5</f>
        <v>0.377004553566815</v>
      </c>
      <c r="D83" s="11" t="n">
        <f aca="false">MAX(0,((D82*'Stressed case'!$B$5)-('Stressed case'!$B$5/'Stressed case'!$B$7*(D25-D26)*IF(AND($A83&gt;='Stressed case'!$B$17,$A83&lt;'Stressed case'!$B$17+'Stressed case'!$B$16),1-'Stressed case'!$B$15,1)-'Stressed case'!$B$14*'Stressed case'!$B$5/'Stressed case'!$B$7*(D25-D26))-(MAX(0,'Stressed case'!$B$5/'Stressed case'!$B$7*D25*('Stressed case'!$B$11-'Stressed case'!$B$12)/12-(D82*'Stressed case'!$B$5)*'Stressed case'!$B$13/12))))/'Stressed case'!$B$5</f>
        <v>0.515138216586559</v>
      </c>
      <c r="E83" s="11" t="n">
        <f aca="false">MAX(0,((E82*'Stressed case'!$B$5)-('Stressed case'!$B$5/'Stressed case'!$B$7*(E25-E26)*IF(AND($A83&gt;='Stressed case'!$B$17,$A83&lt;'Stressed case'!$B$17+'Stressed case'!$B$16),1-'Stressed case'!$B$15,1)-'Stressed case'!$B$14*'Stressed case'!$B$5/'Stressed case'!$B$7*(E25-E26))-(MAX(0,'Stressed case'!$B$5/'Stressed case'!$B$7*E25*('Stressed case'!$B$11-'Stressed case'!$B$12)/12-(E82*'Stressed case'!$B$5)*'Stressed case'!$B$13/12))))/'Stressed case'!$B$5</f>
        <v>0.620949876931111</v>
      </c>
      <c r="F83" s="11" t="n">
        <f aca="false">MAX(0,((F82*'Stressed case'!$B$5)-('Stressed case'!$B$5/'Stressed case'!$B$7*(F25-F26)*IF(AND($A83&gt;='Stressed case'!$B$17,$A83&lt;'Stressed case'!$B$17+'Stressed case'!$B$16),1-'Stressed case'!$B$15,1)-'Stressed case'!$B$14*'Stressed case'!$B$5/'Stressed case'!$B$7*(F25-F26))-(MAX(0,'Stressed case'!$B$5/'Stressed case'!$B$7*F25*('Stressed case'!$B$11-'Stressed case'!$B$12)/12-(F82*'Stressed case'!$B$5)*'Stressed case'!$B$13/12))))/'Stressed case'!$B$5</f>
        <v>0.72805946410415</v>
      </c>
    </row>
    <row r="84" customFormat="false" ht="15" hidden="false" customHeight="false" outlineLevel="0" collapsed="false">
      <c r="A84" s="45" t="n">
        <v>14</v>
      </c>
      <c r="B84" s="56" t="n">
        <f aca="false">MAX(0,((B83*'Stressed case'!$B$5)-('Stressed case'!$B$5/'Stressed case'!$B$7*(B26-B27)*IF(AND($A84&gt;='Stressed case'!$B$17,$A84&lt;'Stressed case'!$B$17+'Stressed case'!$B$16),1-'Stressed case'!$B$15,1)-'Stressed case'!$B$14*'Stressed case'!$B$5/'Stressed case'!$B$7*(B26-B27))-(MAX(0,'Stressed case'!$B$5/'Stressed case'!$B$7*B26*('Stressed case'!$B$11-'Stressed case'!$B$12)/12-(B83*'Stressed case'!$B$5)*'Stressed case'!$B$13/12))))/'Stressed case'!$B$5</f>
        <v>0.103663674202421</v>
      </c>
      <c r="C84" s="56" t="n">
        <f aca="false">MAX(0,((C83*'Stressed case'!$B$5)-('Stressed case'!$B$5/'Stressed case'!$B$7*(C26-C27)*IF(AND($A84&gt;='Stressed case'!$B$17,$A84&lt;'Stressed case'!$B$17+'Stressed case'!$B$16),1-'Stressed case'!$B$15,1)-'Stressed case'!$B$14*'Stressed case'!$B$5/'Stressed case'!$B$7*(C26-C27))-(MAX(0,'Stressed case'!$B$5/'Stressed case'!$B$7*C26*('Stressed case'!$B$11-'Stressed case'!$B$12)/12-(C83*'Stressed case'!$B$5)*'Stressed case'!$B$13/12))))/'Stressed case'!$B$5</f>
        <v>0.325487127710786</v>
      </c>
      <c r="D84" s="56" t="n">
        <f aca="false">MAX(0,((D83*'Stressed case'!$B$5)-('Stressed case'!$B$5/'Stressed case'!$B$7*(D26-D27)*IF(AND($A84&gt;='Stressed case'!$B$17,$A84&lt;'Stressed case'!$B$17+'Stressed case'!$B$16),1-'Stressed case'!$B$15,1)-'Stressed case'!$B$14*'Stressed case'!$B$5/'Stressed case'!$B$7*(D26-D27))-(MAX(0,'Stressed case'!$B$5/'Stressed case'!$B$7*D26*('Stressed case'!$B$11-'Stressed case'!$B$12)/12-(D83*'Stressed case'!$B$5)*'Stressed case'!$B$13/12))))/'Stressed case'!$B$5</f>
        <v>0.475088850462296</v>
      </c>
      <c r="E84" s="56" t="n">
        <f aca="false">MAX(0,((E83*'Stressed case'!$B$5)-('Stressed case'!$B$5/'Stressed case'!$B$7*(E26-E27)*IF(AND($A84&gt;='Stressed case'!$B$17,$A84&lt;'Stressed case'!$B$17+'Stressed case'!$B$16),1-'Stressed case'!$B$15,1)-'Stressed case'!$B$14*'Stressed case'!$B$5/'Stressed case'!$B$7*(E26-E27))-(MAX(0,'Stressed case'!$B$5/'Stressed case'!$B$7*E26*('Stressed case'!$B$11-'Stressed case'!$B$12)/12-(E83*'Stressed case'!$B$5)*'Stressed case'!$B$13/12))))/'Stressed case'!$B$5</f>
        <v>0.589685150369874</v>
      </c>
      <c r="F84" s="56" t="n">
        <f aca="false">MAX(0,((F83*'Stressed case'!$B$5)-('Stressed case'!$B$5/'Stressed case'!$B$7*(F26-F27)*IF(AND($A84&gt;='Stressed case'!$B$17,$A84&lt;'Stressed case'!$B$17+'Stressed case'!$B$16),1-'Stressed case'!$B$15,1)-'Stressed case'!$B$14*'Stressed case'!$B$5/'Stressed case'!$B$7*(F26-F27))-(MAX(0,'Stressed case'!$B$5/'Stressed case'!$B$7*F26*('Stressed case'!$B$11-'Stressed case'!$B$12)/12-(F83*'Stressed case'!$B$5)*'Stressed case'!$B$13/12))))/'Stressed case'!$B$5</f>
        <v>0.705687132898921</v>
      </c>
    </row>
    <row r="85" customFormat="false" ht="15" hidden="false" customHeight="false" outlineLevel="0" collapsed="false">
      <c r="A85" s="30" t="n">
        <v>15</v>
      </c>
      <c r="B85" s="11" t="n">
        <f aca="false">MAX(0,((B84*'Stressed case'!$B$5)-('Stressed case'!$B$5/'Stressed case'!$B$7*(B27-B28)*IF(AND($A85&gt;='Stressed case'!$B$17,$A85&lt;'Stressed case'!$B$17+'Stressed case'!$B$16),1-'Stressed case'!$B$15,1)-'Stressed case'!$B$14*'Stressed case'!$B$5/'Stressed case'!$B$7*(B27-B28))-(MAX(0,'Stressed case'!$B$5/'Stressed case'!$B$7*B27*('Stressed case'!$B$11-'Stressed case'!$B$12)/12-(B84*'Stressed case'!$B$5)*'Stressed case'!$B$13/12))))/'Stressed case'!$B$5</f>
        <v>0.0346280051957348</v>
      </c>
      <c r="C85" s="11" t="n">
        <f aca="false">MAX(0,((C84*'Stressed case'!$B$5)-('Stressed case'!$B$5/'Stressed case'!$B$7*(C27-C28)*IF(AND($A85&gt;='Stressed case'!$B$17,$A85&lt;'Stressed case'!$B$17+'Stressed case'!$B$16),1-'Stressed case'!$B$15,1)-'Stressed case'!$B$14*'Stressed case'!$B$5/'Stressed case'!$B$7*(C27-C28))-(MAX(0,'Stressed case'!$B$5/'Stressed case'!$B$7*C27*('Stressed case'!$B$11-'Stressed case'!$B$12)/12-(C84*'Stressed case'!$B$5)*'Stressed case'!$B$13/12))))/'Stressed case'!$B$5</f>
        <v>0.273583814518177</v>
      </c>
      <c r="D85" s="11" t="n">
        <f aca="false">MAX(0,((D84*'Stressed case'!$B$5)-('Stressed case'!$B$5/'Stressed case'!$B$7*(D27-D28)*IF(AND($A85&gt;='Stressed case'!$B$17,$A85&lt;'Stressed case'!$B$17+'Stressed case'!$B$16),1-'Stressed case'!$B$15,1)-'Stressed case'!$B$14*'Stressed case'!$B$5/'Stressed case'!$B$7*(D27-D28))-(MAX(0,'Stressed case'!$B$5/'Stressed case'!$B$7*D27*('Stressed case'!$B$11-'Stressed case'!$B$12)/12-(D84*'Stressed case'!$B$5)*'Stressed case'!$B$13/12))))/'Stressed case'!$B$5</f>
        <v>0.434739905863453</v>
      </c>
      <c r="E85" s="11" t="n">
        <f aca="false">MAX(0,((E84*'Stressed case'!$B$5)-('Stressed case'!$B$5/'Stressed case'!$B$7*(E27-E28)*IF(AND($A85&gt;='Stressed case'!$B$17,$A85&lt;'Stressed case'!$B$17+'Stressed case'!$B$16),1-'Stressed case'!$B$15,1)-'Stressed case'!$B$14*'Stressed case'!$B$5/'Stressed case'!$B$7*(E27-E28))-(MAX(0,'Stressed case'!$B$5/'Stressed case'!$B$7*E27*('Stressed case'!$B$11-'Stressed case'!$B$12)/12-(E84*'Stressed case'!$B$5)*'Stressed case'!$B$13/12))))/'Stressed case'!$B$5</f>
        <v>0.558186958718663</v>
      </c>
      <c r="F85" s="11" t="n">
        <f aca="false">MAX(0,((F84*'Stressed case'!$B$5)-('Stressed case'!$B$5/'Stressed case'!$B$7*(F27-F28)*IF(AND($A85&gt;='Stressed case'!$B$17,$A85&lt;'Stressed case'!$B$17+'Stressed case'!$B$16),1-'Stressed case'!$B$15,1)-'Stressed case'!$B$14*'Stressed case'!$B$5/'Stressed case'!$B$7*(F27-F28))-(MAX(0,'Stressed case'!$B$5/'Stressed case'!$B$7*F27*('Stressed case'!$B$11-'Stressed case'!$B$12)/12-(F84*'Stressed case'!$B$5)*'Stressed case'!$B$13/12))))/'Stressed case'!$B$5</f>
        <v>0.683148260960722</v>
      </c>
    </row>
    <row r="86" customFormat="false" ht="15" hidden="false" customHeight="false" outlineLevel="0" collapsed="false">
      <c r="A86" s="45" t="n">
        <v>16</v>
      </c>
      <c r="B86" s="56" t="n">
        <f aca="false">MAX(0,((B85*'Stressed case'!$B$5)-('Stressed case'!$B$5/'Stressed case'!$B$7*(B28-B29)*IF(AND($A86&gt;='Stressed case'!$B$17,$A86&lt;'Stressed case'!$B$17+'Stressed case'!$B$16),1-'Stressed case'!$B$15,1)-'Stressed case'!$B$14*'Stressed case'!$B$5/'Stressed case'!$B$7*(B28-B29))-(MAX(0,'Stressed case'!$B$5/'Stressed case'!$B$7*B28*('Stressed case'!$B$11-'Stressed case'!$B$12)/12-(B85*'Stressed case'!$B$5)*'Stressed case'!$B$13/12))))/'Stressed case'!$B$5</f>
        <v>0</v>
      </c>
      <c r="C86" s="56" t="n">
        <f aca="false">MAX(0,((C85*'Stressed case'!$B$5)-('Stressed case'!$B$5/'Stressed case'!$B$7*(C28-C29)*IF(AND($A86&gt;='Stressed case'!$B$17,$A86&lt;'Stressed case'!$B$17+'Stressed case'!$B$16),1-'Stressed case'!$B$15,1)-'Stressed case'!$B$14*'Stressed case'!$B$5/'Stressed case'!$B$7*(C28-C29))-(MAX(0,'Stressed case'!$B$5/'Stressed case'!$B$7*C28*('Stressed case'!$B$11-'Stressed case'!$B$12)/12-(C85*'Stressed case'!$B$5)*'Stressed case'!$B$13/12))))/'Stressed case'!$B$5</f>
        <v>0.221291665407868</v>
      </c>
      <c r="D86" s="56" t="n">
        <f aca="false">MAX(0,((D85*'Stressed case'!$B$5)-('Stressed case'!$B$5/'Stressed case'!$B$7*(D28-D29)*IF(AND($A86&gt;='Stressed case'!$B$17,$A86&lt;'Stressed case'!$B$17+'Stressed case'!$B$16),1-'Stressed case'!$B$15,1)-'Stressed case'!$B$14*'Stressed case'!$B$5/'Stressed case'!$B$7*(D28-D29))-(MAX(0,'Stressed case'!$B$5/'Stressed case'!$B$7*D28*('Stressed case'!$B$11-'Stressed case'!$B$12)/12-(D85*'Stressed case'!$B$5)*'Stressed case'!$B$13/12))))/'Stressed case'!$B$5</f>
        <v>0.394089098931004</v>
      </c>
      <c r="E86" s="56" t="n">
        <f aca="false">MAX(0,((E85*'Stressed case'!$B$5)-('Stressed case'!$B$5/'Stressed case'!$B$7*(E28-E29)*IF(AND($A86&gt;='Stressed case'!$B$17,$A86&lt;'Stressed case'!$B$17+'Stressed case'!$B$16),1-'Stressed case'!$B$15,1)-'Stressed case'!$B$14*'Stressed case'!$B$5/'Stressed case'!$B$7*(E28-E29))-(MAX(0,'Stressed case'!$B$5/'Stressed case'!$B$7*E28*('Stressed case'!$B$11-'Stressed case'!$B$12)/12-(E85*'Stressed case'!$B$5)*'Stressed case'!$B$13/12))))/'Stressed case'!$B$5</f>
        <v>0.526453527301712</v>
      </c>
      <c r="F86" s="56" t="n">
        <f aca="false">MAX(0,((F85*'Stressed case'!$B$5)-('Stressed case'!$B$5/'Stressed case'!$B$7*(F28-F29)*IF(AND($A86&gt;='Stressed case'!$B$17,$A86&lt;'Stressed case'!$B$17+'Stressed case'!$B$16),1-'Stressed case'!$B$15,1)-'Stressed case'!$B$14*'Stressed case'!$B$5/'Stressed case'!$B$7*(F28-F29))-(MAX(0,'Stressed case'!$B$5/'Stressed case'!$B$7*F28*('Stressed case'!$B$11-'Stressed case'!$B$12)/12-(F85*'Stressed case'!$B$5)*'Stressed case'!$B$13/12))))/'Stressed case'!$B$5</f>
        <v>0.660441589042883</v>
      </c>
    </row>
    <row r="87" customFormat="false" ht="15" hidden="false" customHeight="false" outlineLevel="0" collapsed="false">
      <c r="A87" s="30" t="n">
        <v>17</v>
      </c>
      <c r="B87" s="11" t="n">
        <f aca="false">MAX(0,((B86*'Stressed case'!$B$5)-('Stressed case'!$B$5/'Stressed case'!$B$7*(B29-B30)*IF(AND($A87&gt;='Stressed case'!$B$17,$A87&lt;'Stressed case'!$B$17+'Stressed case'!$B$16),1-'Stressed case'!$B$15,1)-'Stressed case'!$B$14*'Stressed case'!$B$5/'Stressed case'!$B$7*(B29-B30))-(MAX(0,'Stressed case'!$B$5/'Stressed case'!$B$7*B29*('Stressed case'!$B$11-'Stressed case'!$B$12)/12-(B86*'Stressed case'!$B$5)*'Stressed case'!$B$13/12))))/'Stressed case'!$B$5</f>
        <v>0</v>
      </c>
      <c r="C87" s="11" t="n">
        <f aca="false">MAX(0,((C86*'Stressed case'!$B$5)-('Stressed case'!$B$5/'Stressed case'!$B$7*(C29-C30)*IF(AND($A87&gt;='Stressed case'!$B$17,$A87&lt;'Stressed case'!$B$17+'Stressed case'!$B$16),1-'Stressed case'!$B$15,1)-'Stressed case'!$B$14*'Stressed case'!$B$5/'Stressed case'!$B$7*(C29-C30))-(MAX(0,'Stressed case'!$B$5/'Stressed case'!$B$7*C29*('Stressed case'!$B$11-'Stressed case'!$B$12)/12-(C86*'Stressed case'!$B$5)*'Stressed case'!$B$13/12))))/'Stressed case'!$B$5</f>
        <v>0.168607708523551</v>
      </c>
      <c r="D87" s="11" t="n">
        <f aca="false">MAX(0,((D86*'Stressed case'!$B$5)-('Stressed case'!$B$5/'Stressed case'!$B$7*(D29-D30)*IF(AND($A87&gt;='Stressed case'!$B$17,$A87&lt;'Stressed case'!$B$17+'Stressed case'!$B$16),1-'Stressed case'!$B$15,1)-'Stressed case'!$B$14*'Stressed case'!$B$5/'Stressed case'!$B$7*(D29-D30))-(MAX(0,'Stressed case'!$B$5/'Stressed case'!$B$7*D29*('Stressed case'!$B$11-'Stressed case'!$B$12)/12-(D86*'Stressed case'!$B$5)*'Stressed case'!$B$13/12))))/'Stressed case'!$B$5</f>
        <v>0.35313412784359</v>
      </c>
      <c r="E87" s="11" t="n">
        <f aca="false">MAX(0,((E86*'Stressed case'!$B$5)-('Stressed case'!$B$5/'Stressed case'!$B$7*(E29-E30)*IF(AND($A87&gt;='Stressed case'!$B$17,$A87&lt;'Stressed case'!$B$17+'Stressed case'!$B$16),1-'Stressed case'!$B$15,1)-'Stressed case'!$B$14*'Stressed case'!$B$5/'Stressed case'!$B$7*(E29-E30))-(MAX(0,'Stressed case'!$B$5/'Stressed case'!$B$7*E29*('Stressed case'!$B$11-'Stressed case'!$B$12)/12-(E86*'Stressed case'!$B$5)*'Stressed case'!$B$13/12))))/'Stressed case'!$B$5</f>
        <v>0.494483067550617</v>
      </c>
      <c r="F87" s="11" t="n">
        <f aca="false">MAX(0,((F86*'Stressed case'!$B$5)-('Stressed case'!$B$5/'Stressed case'!$B$7*(F29-F30)*IF(AND($A87&gt;='Stressed case'!$B$17,$A87&lt;'Stressed case'!$B$17+'Stressed case'!$B$16),1-'Stressed case'!$B$15,1)-'Stressed case'!$B$14*'Stressed case'!$B$5/'Stressed case'!$B$7*(F29-F30))-(MAX(0,'Stressed case'!$B$5/'Stressed case'!$B$7*F29*('Stressed case'!$B$11-'Stressed case'!$B$12)/12-(F86*'Stressed case'!$B$5)*'Stressed case'!$B$13/12))))/'Stressed case'!$B$5</f>
        <v>0.637565848125714</v>
      </c>
    </row>
    <row r="88" customFormat="false" ht="15" hidden="false" customHeight="false" outlineLevel="0" collapsed="false">
      <c r="A88" s="45" t="n">
        <v>18</v>
      </c>
      <c r="B88" s="56" t="n">
        <f aca="false">MAX(0,((B87*'Stressed case'!$B$5)-('Stressed case'!$B$5/'Stressed case'!$B$7*(B30-B31)*IF(AND($A88&gt;='Stressed case'!$B$17,$A88&lt;'Stressed case'!$B$17+'Stressed case'!$B$16),1-'Stressed case'!$B$15,1)-'Stressed case'!$B$14*'Stressed case'!$B$5/'Stressed case'!$B$7*(B30-B31))-(MAX(0,'Stressed case'!$B$5/'Stressed case'!$B$7*B30*('Stressed case'!$B$11-'Stressed case'!$B$12)/12-(B87*'Stressed case'!$B$5)*'Stressed case'!$B$13/12))))/'Stressed case'!$B$5</f>
        <v>0</v>
      </c>
      <c r="C88" s="56" t="n">
        <f aca="false">MAX(0,((C87*'Stressed case'!$B$5)-('Stressed case'!$B$5/'Stressed case'!$B$7*(C30-C31)*IF(AND($A88&gt;='Stressed case'!$B$17,$A88&lt;'Stressed case'!$B$17+'Stressed case'!$B$16),1-'Stressed case'!$B$15,1)-'Stressed case'!$B$14*'Stressed case'!$B$5/'Stressed case'!$B$7*(C30-C31))-(MAX(0,'Stressed case'!$B$5/'Stressed case'!$B$7*C30*('Stressed case'!$B$11-'Stressed case'!$B$12)/12-(C87*'Stressed case'!$B$5)*'Stressed case'!$B$13/12))))/'Stressed case'!$B$5</f>
        <v>0.115528948540635</v>
      </c>
      <c r="D88" s="56" t="n">
        <f aca="false">MAX(0,((D87*'Stressed case'!$B$5)-('Stressed case'!$B$5/'Stressed case'!$B$7*(D30-D31)*IF(AND($A88&gt;='Stressed case'!$B$17,$A88&lt;'Stressed case'!$B$17+'Stressed case'!$B$16),1-'Stressed case'!$B$15,1)-'Stressed case'!$B$14*'Stressed case'!$B$5/'Stressed case'!$B$7*(D30-D31))-(MAX(0,'Stressed case'!$B$5/'Stressed case'!$B$7*D30*('Stressed case'!$B$11-'Stressed case'!$B$12)/12-(D87*'Stressed case'!$B$5)*'Stressed case'!$B$13/12))))/'Stressed case'!$B$5</f>
        <v>0.311872672669304</v>
      </c>
      <c r="E88" s="56" t="n">
        <f aca="false">MAX(0,((E87*'Stressed case'!$B$5)-('Stressed case'!$B$5/'Stressed case'!$B$7*(E30-E31)*IF(AND($A88&gt;='Stressed case'!$B$17,$A88&lt;'Stressed case'!$B$17+'Stressed case'!$B$16),1-'Stressed case'!$B$15,1)-'Stressed case'!$B$14*'Stressed case'!$B$5/'Stressed case'!$B$7*(E30-E31))-(MAX(0,'Stressed case'!$B$5/'Stressed case'!$B$7*E30*('Stressed case'!$B$11-'Stressed case'!$B$12)/12-(E87*'Stressed case'!$B$5)*'Stressed case'!$B$13/12))))/'Stressed case'!$B$5</f>
        <v>0.462273776890495</v>
      </c>
      <c r="F88" s="56" t="n">
        <f aca="false">MAX(0,((F87*'Stressed case'!$B$5)-('Stressed case'!$B$5/'Stressed case'!$B$7*(F30-F31)*IF(AND($A88&gt;='Stressed case'!$B$17,$A88&lt;'Stressed case'!$B$17+'Stressed case'!$B$16),1-'Stressed case'!$B$15,1)-'Stressed case'!$B$14*'Stressed case'!$B$5/'Stressed case'!$B$7*(F30-F31))-(MAX(0,'Stressed case'!$B$5/'Stressed case'!$B$7*F30*('Stressed case'!$B$11-'Stressed case'!$B$12)/12-(F87*'Stressed case'!$B$5)*'Stressed case'!$B$13/12))))/'Stressed case'!$B$5</f>
        <v>0.614519759337459</v>
      </c>
    </row>
    <row r="89" customFormat="false" ht="15" hidden="false" customHeight="false" outlineLevel="0" collapsed="false">
      <c r="A89" s="30" t="n">
        <v>19</v>
      </c>
      <c r="B89" s="11" t="n">
        <f aca="false">MAX(0,((B88*'Stressed case'!$B$5)-('Stressed case'!$B$5/'Stressed case'!$B$7*(B31-B32)*IF(AND($A89&gt;='Stressed case'!$B$17,$A89&lt;'Stressed case'!$B$17+'Stressed case'!$B$16),1-'Stressed case'!$B$15,1)-'Stressed case'!$B$14*'Stressed case'!$B$5/'Stressed case'!$B$7*(B31-B32))-(MAX(0,'Stressed case'!$B$5/'Stressed case'!$B$7*B31*('Stressed case'!$B$11-'Stressed case'!$B$12)/12-(B88*'Stressed case'!$B$5)*'Stressed case'!$B$13/12))))/'Stressed case'!$B$5</f>
        <v>0</v>
      </c>
      <c r="C89" s="11" t="n">
        <f aca="false">MAX(0,((C88*'Stressed case'!$B$5)-('Stressed case'!$B$5/'Stressed case'!$B$7*(C31-C32)*IF(AND($A89&gt;='Stressed case'!$B$17,$A89&lt;'Stressed case'!$B$17+'Stressed case'!$B$16),1-'Stressed case'!$B$15,1)-'Stressed case'!$B$14*'Stressed case'!$B$5/'Stressed case'!$B$7*(C31-C32))-(MAX(0,'Stressed case'!$B$5/'Stressed case'!$B$7*C31*('Stressed case'!$B$11-'Stressed case'!$B$12)/12-(C88*'Stressed case'!$B$5)*'Stressed case'!$B$13/12))))/'Stressed case'!$B$5</f>
        <v>0.0620523664714507</v>
      </c>
      <c r="D89" s="11" t="n">
        <f aca="false">MAX(0,((D88*'Stressed case'!$B$5)-('Stressed case'!$B$5/'Stressed case'!$B$7*(D31-D32)*IF(AND($A89&gt;='Stressed case'!$B$17,$A89&lt;'Stressed case'!$B$17+'Stressed case'!$B$16),1-'Stressed case'!$B$15,1)-'Stressed case'!$B$14*'Stressed case'!$B$5/'Stressed case'!$B$7*(D31-D32))-(MAX(0,'Stressed case'!$B$5/'Stressed case'!$B$7*D31*('Stressed case'!$B$11-'Stressed case'!$B$12)/12-(D88*'Stressed case'!$B$5)*'Stressed case'!$B$13/12))))/'Stressed case'!$B$5</f>
        <v>0.270302395216169</v>
      </c>
      <c r="E89" s="11" t="n">
        <f aca="false">MAX(0,((E88*'Stressed case'!$B$5)-('Stressed case'!$B$5/'Stressed case'!$B$7*(E31-E32)*IF(AND($A89&gt;='Stressed case'!$B$17,$A89&lt;'Stressed case'!$B$17+'Stressed case'!$B$16),1-'Stressed case'!$B$15,1)-'Stressed case'!$B$14*'Stressed case'!$B$5/'Stressed case'!$B$7*(E31-E32))-(MAX(0,'Stressed case'!$B$5/'Stressed case'!$B$7*E31*('Stressed case'!$B$11-'Stressed case'!$B$12)/12-(E88*'Stressed case'!$B$5)*'Stressed case'!$B$13/12))))/'Stressed case'!$B$5</f>
        <v>0.429823838625152</v>
      </c>
      <c r="F89" s="11" t="n">
        <f aca="false">MAX(0,((F88*'Stressed case'!$B$5)-('Stressed case'!$B$5/'Stressed case'!$B$7*(F31-F32)*IF(AND($A89&gt;='Stressed case'!$B$17,$A89&lt;'Stressed case'!$B$17+'Stressed case'!$B$16),1-'Stressed case'!$B$15,1)-'Stressed case'!$B$14*'Stressed case'!$B$5/'Stressed case'!$B$7*(F31-F32))-(MAX(0,'Stressed case'!$B$5/'Stressed case'!$B$7*F31*('Stressed case'!$B$11-'Stressed case'!$B$12)/12-(F88*'Stressed case'!$B$5)*'Stressed case'!$B$13/12))))/'Stressed case'!$B$5</f>
        <v>0.591302033874576</v>
      </c>
    </row>
    <row r="90" customFormat="false" ht="15" hidden="false" customHeight="false" outlineLevel="0" collapsed="false">
      <c r="A90" s="45" t="n">
        <v>20</v>
      </c>
      <c r="B90" s="56" t="n">
        <f aca="false">MAX(0,((B89*'Stressed case'!$B$5)-('Stressed case'!$B$5/'Stressed case'!$B$7*(B32-B33)*IF(AND($A90&gt;='Stressed case'!$B$17,$A90&lt;'Stressed case'!$B$17+'Stressed case'!$B$16),1-'Stressed case'!$B$15,1)-'Stressed case'!$B$14*'Stressed case'!$B$5/'Stressed case'!$B$7*(B32-B33))-(MAX(0,'Stressed case'!$B$5/'Stressed case'!$B$7*B32*('Stressed case'!$B$11-'Stressed case'!$B$12)/12-(B89*'Stressed case'!$B$5)*'Stressed case'!$B$13/12))))/'Stressed case'!$B$5</f>
        <v>0</v>
      </c>
      <c r="C90" s="56" t="n">
        <f aca="false">MAX(0,((C89*'Stressed case'!$B$5)-('Stressed case'!$B$5/'Stressed case'!$B$7*(C32-C33)*IF(AND($A90&gt;='Stressed case'!$B$17,$A90&lt;'Stressed case'!$B$17+'Stressed case'!$B$16),1-'Stressed case'!$B$15,1)-'Stressed case'!$B$14*'Stressed case'!$B$5/'Stressed case'!$B$7*(C32-C33))-(MAX(0,'Stressed case'!$B$5/'Stressed case'!$B$7*C32*('Stressed case'!$B$11-'Stressed case'!$B$12)/12-(C89*'Stressed case'!$B$5)*'Stressed case'!$B$13/12))))/'Stressed case'!$B$5</f>
        <v>0.0081749194687111</v>
      </c>
      <c r="D90" s="56" t="n">
        <f aca="false">MAX(0,((D89*'Stressed case'!$B$5)-('Stressed case'!$B$5/'Stressed case'!$B$7*(D32-D33)*IF(AND($A90&gt;='Stressed case'!$B$17,$A90&lt;'Stressed case'!$B$17+'Stressed case'!$B$16),1-'Stressed case'!$B$15,1)-'Stressed case'!$B$14*'Stressed case'!$B$5/'Stressed case'!$B$7*(D32-D33))-(MAX(0,'Stressed case'!$B$5/'Stressed case'!$B$7*D32*('Stressed case'!$B$11-'Stressed case'!$B$12)/12-(D89*'Stressed case'!$B$5)*'Stressed case'!$B$13/12))))/'Stressed case'!$B$5</f>
        <v>0.228420938881299</v>
      </c>
      <c r="E90" s="56" t="n">
        <f aca="false">MAX(0,((E89*'Stressed case'!$B$5)-('Stressed case'!$B$5/'Stressed case'!$B$7*(E32-E33)*IF(AND($A90&gt;='Stressed case'!$B$17,$A90&lt;'Stressed case'!$B$17+'Stressed case'!$B$16),1-'Stressed case'!$B$15,1)-'Stressed case'!$B$14*'Stressed case'!$B$5/'Stressed case'!$B$7*(E32-E33))-(MAX(0,'Stressed case'!$B$5/'Stressed case'!$B$7*E32*('Stressed case'!$B$11-'Stressed case'!$B$12)/12-(E89*'Stressed case'!$B$5)*'Stressed case'!$B$13/12))))/'Stressed case'!$B$5</f>
        <v>0.397131421821244</v>
      </c>
      <c r="F90" s="56" t="n">
        <f aca="false">MAX(0,((F89*'Stressed case'!$B$5)-('Stressed case'!$B$5/'Stressed case'!$B$7*(F32-F33)*IF(AND($A90&gt;='Stressed case'!$B$17,$A90&lt;'Stressed case'!$B$17+'Stressed case'!$B$16),1-'Stressed case'!$B$15,1)-'Stressed case'!$B$14*'Stressed case'!$B$5/'Stressed case'!$B$7*(F32-F33))-(MAX(0,'Stressed case'!$B$5/'Stressed case'!$B$7*F32*('Stressed case'!$B$11-'Stressed case'!$B$12)/12-(F89*'Stressed case'!$B$5)*'Stressed case'!$B$13/12))))/'Stressed case'!$B$5</f>
        <v>0.567911372921329</v>
      </c>
    </row>
    <row r="91" customFormat="false" ht="15" hidden="false" customHeight="false" outlineLevel="0" collapsed="false">
      <c r="A91" s="30" t="n">
        <v>21</v>
      </c>
      <c r="B91" s="11" t="n">
        <f aca="false">MAX(0,((B90*'Stressed case'!$B$5)-('Stressed case'!$B$5/'Stressed case'!$B$7*(B33-B34)*IF(AND($A91&gt;='Stressed case'!$B$17,$A91&lt;'Stressed case'!$B$17+'Stressed case'!$B$16),1-'Stressed case'!$B$15,1)-'Stressed case'!$B$14*'Stressed case'!$B$5/'Stressed case'!$B$7*(B33-B34))-(MAX(0,'Stressed case'!$B$5/'Stressed case'!$B$7*B33*('Stressed case'!$B$11-'Stressed case'!$B$12)/12-(B90*'Stressed case'!$B$5)*'Stressed case'!$B$13/12))))/'Stressed case'!$B$5</f>
        <v>0</v>
      </c>
      <c r="C91" s="11" t="n">
        <f aca="false">MAX(0,((C90*'Stressed case'!$B$5)-('Stressed case'!$B$5/'Stressed case'!$B$7*(C33-C34)*IF(AND($A91&gt;='Stressed case'!$B$17,$A91&lt;'Stressed case'!$B$17+'Stressed case'!$B$16),1-'Stressed case'!$B$15,1)-'Stressed case'!$B$14*'Stressed case'!$B$5/'Stressed case'!$B$7*(C33-C34))-(MAX(0,'Stressed case'!$B$5/'Stressed case'!$B$7*C33*('Stressed case'!$B$11-'Stressed case'!$B$12)/12-(C90*'Stressed case'!$B$5)*'Stressed case'!$B$13/12))))/'Stressed case'!$B$5</f>
        <v>0</v>
      </c>
      <c r="D91" s="11" t="n">
        <f aca="false">MAX(0,((D90*'Stressed case'!$B$5)-('Stressed case'!$B$5/'Stressed case'!$B$7*(D33-D34)*IF(AND($A91&gt;='Stressed case'!$B$17,$A91&lt;'Stressed case'!$B$17+'Stressed case'!$B$16),1-'Stressed case'!$B$15,1)-'Stressed case'!$B$14*'Stressed case'!$B$5/'Stressed case'!$B$7*(D33-D34))-(MAX(0,'Stressed case'!$B$5/'Stressed case'!$B$7*D33*('Stressed case'!$B$11-'Stressed case'!$B$12)/12-(D90*'Stressed case'!$B$5)*'Stressed case'!$B$13/12))))/'Stressed case'!$B$5</f>
        <v>0.186225928498723</v>
      </c>
      <c r="E91" s="11" t="n">
        <f aca="false">MAX(0,((E90*'Stressed case'!$B$5)-('Stressed case'!$B$5/'Stressed case'!$B$7*(E33-E34)*IF(AND($A91&gt;='Stressed case'!$B$17,$A91&lt;'Stressed case'!$B$17+'Stressed case'!$B$16),1-'Stressed case'!$B$15,1)-'Stressed case'!$B$14*'Stressed case'!$B$5/'Stressed case'!$B$7*(E33-E34))-(MAX(0,'Stressed case'!$B$5/'Stressed case'!$B$7*E33*('Stressed case'!$B$11-'Stressed case'!$B$12)/12-(E90*'Stressed case'!$B$5)*'Stressed case'!$B$13/12))))/'Stressed case'!$B$5</f>
        <v>0.364194681191423</v>
      </c>
      <c r="F91" s="11" t="n">
        <f aca="false">MAX(0,((F90*'Stressed case'!$B$5)-('Stressed case'!$B$5/'Stressed case'!$B$7*(F33-F34)*IF(AND($A91&gt;='Stressed case'!$B$17,$A91&lt;'Stressed case'!$B$17+'Stressed case'!$B$16),1-'Stressed case'!$B$15,1)-'Stressed case'!$B$14*'Stressed case'!$B$5/'Stressed case'!$B$7*(F33-F34))-(MAX(0,'Stressed case'!$B$5/'Stressed case'!$B$7*F33*('Stressed case'!$B$11-'Stressed case'!$B$12)/12-(F90*'Stressed case'!$B$5)*'Stressed case'!$B$13/12))))/'Stressed case'!$B$5</f>
        <v>0.544346467568689</v>
      </c>
    </row>
    <row r="92" customFormat="false" ht="15" hidden="false" customHeight="false" outlineLevel="0" collapsed="false">
      <c r="A92" s="45" t="n">
        <v>22</v>
      </c>
      <c r="B92" s="56" t="n">
        <f aca="false">MAX(0,((B91*'Stressed case'!$B$5)-('Stressed case'!$B$5/'Stressed case'!$B$7*(B34-B35)*IF(AND($A92&gt;='Stressed case'!$B$17,$A92&lt;'Stressed case'!$B$17+'Stressed case'!$B$16),1-'Stressed case'!$B$15,1)-'Stressed case'!$B$14*'Stressed case'!$B$5/'Stressed case'!$B$7*(B34-B35))-(MAX(0,'Stressed case'!$B$5/'Stressed case'!$B$7*B34*('Stressed case'!$B$11-'Stressed case'!$B$12)/12-(B91*'Stressed case'!$B$5)*'Stressed case'!$B$13/12))))/'Stressed case'!$B$5</f>
        <v>0</v>
      </c>
      <c r="C92" s="56" t="n">
        <f aca="false">MAX(0,((C91*'Stressed case'!$B$5)-('Stressed case'!$B$5/'Stressed case'!$B$7*(C34-C35)*IF(AND($A92&gt;='Stressed case'!$B$17,$A92&lt;'Stressed case'!$B$17+'Stressed case'!$B$16),1-'Stressed case'!$B$15,1)-'Stressed case'!$B$14*'Stressed case'!$B$5/'Stressed case'!$B$7*(C34-C35))-(MAX(0,'Stressed case'!$B$5/'Stressed case'!$B$7*C34*('Stressed case'!$B$11-'Stressed case'!$B$12)/12-(C91*'Stressed case'!$B$5)*'Stressed case'!$B$13/12))))/'Stressed case'!$B$5</f>
        <v>0</v>
      </c>
      <c r="D92" s="56" t="n">
        <f aca="false">MAX(0,((D91*'Stressed case'!$B$5)-('Stressed case'!$B$5/'Stressed case'!$B$7*(D34-D35)*IF(AND($A92&gt;='Stressed case'!$B$17,$A92&lt;'Stressed case'!$B$17+'Stressed case'!$B$16),1-'Stressed case'!$B$15,1)-'Stressed case'!$B$14*'Stressed case'!$B$5/'Stressed case'!$B$7*(D34-D35))-(MAX(0,'Stressed case'!$B$5/'Stressed case'!$B$7*D34*('Stressed case'!$B$11-'Stressed case'!$B$12)/12-(D91*'Stressed case'!$B$5)*'Stressed case'!$B$13/12))))/'Stressed case'!$B$5</f>
        <v>0.143714970185865</v>
      </c>
      <c r="E92" s="56" t="n">
        <f aca="false">MAX(0,((E91*'Stressed case'!$B$5)-('Stressed case'!$B$5/'Stressed case'!$B$7*(E34-E35)*IF(AND($A92&gt;='Stressed case'!$B$17,$A92&lt;'Stressed case'!$B$17+'Stressed case'!$B$16),1-'Stressed case'!$B$15,1)-'Stressed case'!$B$14*'Stressed case'!$B$5/'Stressed case'!$B$7*(E34-E35))-(MAX(0,'Stressed case'!$B$5/'Stressed case'!$B$7*E34*('Stressed case'!$B$11-'Stressed case'!$B$12)/12-(E91*'Stressed case'!$B$5)*'Stressed case'!$B$13/12))))/'Stressed case'!$B$5</f>
        <v>0.33101175697646</v>
      </c>
      <c r="F92" s="56" t="n">
        <f aca="false">MAX(0,((F91*'Stressed case'!$B$5)-('Stressed case'!$B$5/'Stressed case'!$B$7*(F34-F35)*IF(AND($A92&gt;='Stressed case'!$B$17,$A92&lt;'Stressed case'!$B$17+'Stressed case'!$B$16),1-'Stressed case'!$B$15,1)-'Stressed case'!$B$14*'Stressed case'!$B$5/'Stressed case'!$B$7*(F34-F35))-(MAX(0,'Stressed case'!$B$5/'Stressed case'!$B$7*F34*('Stressed case'!$B$11-'Stressed case'!$B$12)/12-(F91*'Stressed case'!$B$5)*'Stressed case'!$B$13/12))))/'Stressed case'!$B$5</f>
        <v>0.52060599873254</v>
      </c>
    </row>
    <row r="93" customFormat="false" ht="15" hidden="false" customHeight="false" outlineLevel="0" collapsed="false">
      <c r="A93" s="30" t="n">
        <v>23</v>
      </c>
      <c r="B93" s="11" t="n">
        <f aca="false">MAX(0,((B92*'Stressed case'!$B$5)-('Stressed case'!$B$5/'Stressed case'!$B$7*(B35-B36)*IF(AND($A93&gt;='Stressed case'!$B$17,$A93&lt;'Stressed case'!$B$17+'Stressed case'!$B$16),1-'Stressed case'!$B$15,1)-'Stressed case'!$B$14*'Stressed case'!$B$5/'Stressed case'!$B$7*(B35-B36))-(MAX(0,'Stressed case'!$B$5/'Stressed case'!$B$7*B35*('Stressed case'!$B$11-'Stressed case'!$B$12)/12-(B92*'Stressed case'!$B$5)*'Stressed case'!$B$13/12))))/'Stressed case'!$B$5</f>
        <v>0</v>
      </c>
      <c r="C93" s="11" t="n">
        <f aca="false">MAX(0,((C92*'Stressed case'!$B$5)-('Stressed case'!$B$5/'Stressed case'!$B$7*(C35-C36)*IF(AND($A93&gt;='Stressed case'!$B$17,$A93&lt;'Stressed case'!$B$17+'Stressed case'!$B$16),1-'Stressed case'!$B$15,1)-'Stressed case'!$B$14*'Stressed case'!$B$5/'Stressed case'!$B$7*(C35-C36))-(MAX(0,'Stressed case'!$B$5/'Stressed case'!$B$7*C35*('Stressed case'!$B$11-'Stressed case'!$B$12)/12-(C92*'Stressed case'!$B$5)*'Stressed case'!$B$13/12))))/'Stressed case'!$B$5</f>
        <v>0</v>
      </c>
      <c r="D93" s="11" t="n">
        <f aca="false">MAX(0,((D92*'Stressed case'!$B$5)-('Stressed case'!$B$5/'Stressed case'!$B$7*(D35-D36)*IF(AND($A93&gt;='Stressed case'!$B$17,$A93&lt;'Stressed case'!$B$17+'Stressed case'!$B$16),1-'Stressed case'!$B$15,1)-'Stressed case'!$B$14*'Stressed case'!$B$5/'Stressed case'!$B$7*(D35-D36))-(MAX(0,'Stressed case'!$B$5/'Stressed case'!$B$7*D35*('Stressed case'!$B$11-'Stressed case'!$B$12)/12-(D92*'Stressed case'!$B$5)*'Stressed case'!$B$13/12))))/'Stressed case'!$B$5</f>
        <v>0.10088565118867</v>
      </c>
      <c r="E93" s="11" t="n">
        <f aca="false">MAX(0,((E92*'Stressed case'!$B$5)-('Stressed case'!$B$5/'Stressed case'!$B$7*(E35-E36)*IF(AND($A93&gt;='Stressed case'!$B$17,$A93&lt;'Stressed case'!$B$17+'Stressed case'!$B$16),1-'Stressed case'!$B$15,1)-'Stressed case'!$B$14*'Stressed case'!$B$5/'Stressed case'!$B$7*(E35-E36))-(MAX(0,'Stressed case'!$B$5/'Stressed case'!$B$7*E35*('Stressed case'!$B$11-'Stressed case'!$B$12)/12-(E92*'Stressed case'!$B$5)*'Stressed case'!$B$13/12))))/'Stressed case'!$B$5</f>
        <v>0.297580774826339</v>
      </c>
      <c r="F93" s="11" t="n">
        <f aca="false">MAX(0,((F92*'Stressed case'!$B$5)-('Stressed case'!$B$5/'Stressed case'!$B$7*(F35-F36)*IF(AND($A93&gt;='Stressed case'!$B$17,$A93&lt;'Stressed case'!$B$17+'Stressed case'!$B$16),1-'Stressed case'!$B$15,1)-'Stressed case'!$B$14*'Stressed case'!$B$5/'Stressed case'!$B$7*(F35-F36))-(MAX(0,'Stressed case'!$B$5/'Stressed case'!$B$7*F35*('Stressed case'!$B$11-'Stressed case'!$B$12)/12-(F92*'Stressed case'!$B$5)*'Stressed case'!$B$13/12))))/'Stressed case'!$B$5</f>
        <v>0.496688637071174</v>
      </c>
    </row>
    <row r="94" customFormat="false" ht="15" hidden="false" customHeight="false" outlineLevel="0" collapsed="false">
      <c r="A94" s="45" t="n">
        <v>24</v>
      </c>
      <c r="B94" s="56" t="n">
        <f aca="false">MAX(0,((B93*'Stressed case'!$B$5)-('Stressed case'!$B$5/'Stressed case'!$B$7*(B36-B37)*IF(AND($A94&gt;='Stressed case'!$B$17,$A94&lt;'Stressed case'!$B$17+'Stressed case'!$B$16),1-'Stressed case'!$B$15,1)-'Stressed case'!$B$14*'Stressed case'!$B$5/'Stressed case'!$B$7*(B36-B37))-(MAX(0,'Stressed case'!$B$5/'Stressed case'!$B$7*B36*('Stressed case'!$B$11-'Stressed case'!$B$12)/12-(B93*'Stressed case'!$B$5)*'Stressed case'!$B$13/12))))/'Stressed case'!$B$5</f>
        <v>0</v>
      </c>
      <c r="C94" s="56" t="n">
        <f aca="false">MAX(0,((C93*'Stressed case'!$B$5)-('Stressed case'!$B$5/'Stressed case'!$B$7*(C36-C37)*IF(AND($A94&gt;='Stressed case'!$B$17,$A94&lt;'Stressed case'!$B$17+'Stressed case'!$B$16),1-'Stressed case'!$B$15,1)-'Stressed case'!$B$14*'Stressed case'!$B$5/'Stressed case'!$B$7*(C36-C37))-(MAX(0,'Stressed case'!$B$5/'Stressed case'!$B$7*C36*('Stressed case'!$B$11-'Stressed case'!$B$12)/12-(C93*'Stressed case'!$B$5)*'Stressed case'!$B$13/12))))/'Stressed case'!$B$5</f>
        <v>0</v>
      </c>
      <c r="D94" s="56" t="n">
        <f aca="false">MAX(0,((D93*'Stressed case'!$B$5)-('Stressed case'!$B$5/'Stressed case'!$B$7*(D36-D37)*IF(AND($A94&gt;='Stressed case'!$B$17,$A94&lt;'Stressed case'!$B$17+'Stressed case'!$B$16),1-'Stressed case'!$B$15,1)-'Stressed case'!$B$14*'Stressed case'!$B$5/'Stressed case'!$B$7*(D36-D37))-(MAX(0,'Stressed case'!$B$5/'Stressed case'!$B$7*D36*('Stressed case'!$B$11-'Stressed case'!$B$12)/12-(D93*'Stressed case'!$B$5)*'Stressed case'!$B$13/12))))/'Stressed case'!$B$5</f>
        <v>0.0577355397253513</v>
      </c>
      <c r="E94" s="56" t="n">
        <f aca="false">MAX(0,((E93*'Stressed case'!$B$5)-('Stressed case'!$B$5/'Stressed case'!$B$7*(E36-E37)*IF(AND($A94&gt;='Stressed case'!$B$17,$A94&lt;'Stressed case'!$B$17+'Stressed case'!$B$16),1-'Stressed case'!$B$15,1)-'Stressed case'!$B$14*'Stressed case'!$B$5/'Stressed case'!$B$7*(E36-E37))-(MAX(0,'Stressed case'!$B$5/'Stressed case'!$B$7*E36*('Stressed case'!$B$11-'Stressed case'!$B$12)/12-(E93*'Stressed case'!$B$5)*'Stressed case'!$B$13/12))))/'Stressed case'!$B$5</f>
        <v>0.263899845680296</v>
      </c>
      <c r="F94" s="56" t="n">
        <f aca="false">MAX(0,((F93*'Stressed case'!$B$5)-('Stressed case'!$B$5/'Stressed case'!$B$7*(F36-F37)*IF(AND($A94&gt;='Stressed case'!$B$17,$A94&lt;'Stressed case'!$B$17+'Stressed case'!$B$16),1-'Stressed case'!$B$15,1)-'Stressed case'!$B$14*'Stressed case'!$B$5/'Stressed case'!$B$7*(F36-F37))-(MAX(0,'Stressed case'!$B$5/'Stressed case'!$B$7*F36*('Stressed case'!$B$11-'Stressed case'!$B$12)/12-(F93*'Stressed case'!$B$5)*'Stressed case'!$B$13/12))))/'Stressed case'!$B$5</f>
        <v>0.47259304290208</v>
      </c>
    </row>
    <row r="95" customFormat="false" ht="15" hidden="false" customHeight="false" outlineLevel="0" collapsed="false">
      <c r="A95" s="30" t="n">
        <v>25</v>
      </c>
      <c r="B95" s="11" t="n">
        <f aca="false">MAX(0,((B94*'Stressed case'!$B$5)-('Stressed case'!$B$5/'Stressed case'!$B$7*(B37-B38)*IF(AND($A95&gt;='Stressed case'!$B$17,$A95&lt;'Stressed case'!$B$17+'Stressed case'!$B$16),1-'Stressed case'!$B$15,1)-'Stressed case'!$B$14*'Stressed case'!$B$5/'Stressed case'!$B$7*(B37-B38))-(MAX(0,'Stressed case'!$B$5/'Stressed case'!$B$7*B37*('Stressed case'!$B$11-'Stressed case'!$B$12)/12-(B94*'Stressed case'!$B$5)*'Stressed case'!$B$13/12))))/'Stressed case'!$B$5</f>
        <v>0</v>
      </c>
      <c r="C95" s="11" t="n">
        <f aca="false">MAX(0,((C94*'Stressed case'!$B$5)-('Stressed case'!$B$5/'Stressed case'!$B$7*(C37-C38)*IF(AND($A95&gt;='Stressed case'!$B$17,$A95&lt;'Stressed case'!$B$17+'Stressed case'!$B$16),1-'Stressed case'!$B$15,1)-'Stressed case'!$B$14*'Stressed case'!$B$5/'Stressed case'!$B$7*(C37-C38))-(MAX(0,'Stressed case'!$B$5/'Stressed case'!$B$7*C37*('Stressed case'!$B$11-'Stressed case'!$B$12)/12-(C94*'Stressed case'!$B$5)*'Stressed case'!$B$13/12))))/'Stressed case'!$B$5</f>
        <v>0</v>
      </c>
      <c r="D95" s="11" t="n">
        <f aca="false">MAX(0,((D94*'Stressed case'!$B$5)-('Stressed case'!$B$5/'Stressed case'!$B$7*(D37-D38)*IF(AND($A95&gt;='Stressed case'!$B$17,$A95&lt;'Stressed case'!$B$17+'Stressed case'!$B$16),1-'Stressed case'!$B$15,1)-'Stressed case'!$B$14*'Stressed case'!$B$5/'Stressed case'!$B$7*(D37-D38))-(MAX(0,'Stressed case'!$B$5/'Stressed case'!$B$7*D37*('Stressed case'!$B$11-'Stressed case'!$B$12)/12-(D94*'Stressed case'!$B$5)*'Stressed case'!$B$13/12))))/'Stressed case'!$B$5</f>
        <v>0.0142621848287548</v>
      </c>
      <c r="E95" s="11" t="n">
        <f aca="false">MAX(0,((E94*'Stressed case'!$B$5)-('Stressed case'!$B$5/'Stressed case'!$B$7*(E37-E38)*IF(AND($A95&gt;='Stressed case'!$B$17,$A95&lt;'Stressed case'!$B$17+'Stressed case'!$B$16),1-'Stressed case'!$B$15,1)-'Stressed case'!$B$14*'Stressed case'!$B$5/'Stressed case'!$B$7*(E37-E38))-(MAX(0,'Stressed case'!$B$5/'Stressed case'!$B$7*E37*('Stressed case'!$B$11-'Stressed case'!$B$12)/12-(E94*'Stressed case'!$B$5)*'Stressed case'!$B$13/12))))/'Stressed case'!$B$5</f>
        <v>0.22996706564582</v>
      </c>
      <c r="F95" s="11" t="n">
        <f aca="false">MAX(0,((F94*'Stressed case'!$B$5)-('Stressed case'!$B$5/'Stressed case'!$B$7*(F37-F38)*IF(AND($A95&gt;='Stressed case'!$B$17,$A95&lt;'Stressed case'!$B$17+'Stressed case'!$B$16),1-'Stressed case'!$B$15,1)-'Stressed case'!$B$14*'Stressed case'!$B$5/'Stressed case'!$B$7*(F37-F38))-(MAX(0,'Stressed case'!$B$5/'Stressed case'!$B$7*F37*('Stressed case'!$B$11-'Stressed case'!$B$12)/12-(F94*'Stressed case'!$B$5)*'Stressed case'!$B$13/12))))/'Stressed case'!$B$5</f>
        <v>0.448317866118017</v>
      </c>
    </row>
    <row r="96" customFormat="false" ht="15" hidden="false" customHeight="false" outlineLevel="0" collapsed="false">
      <c r="A96" s="45" t="n">
        <v>26</v>
      </c>
      <c r="B96" s="56" t="n">
        <f aca="false">MAX(0,((B95*'Stressed case'!$B$5)-('Stressed case'!$B$5/'Stressed case'!$B$7*(B38-B39)*IF(AND($A96&gt;='Stressed case'!$B$17,$A96&lt;'Stressed case'!$B$17+'Stressed case'!$B$16),1-'Stressed case'!$B$15,1)-'Stressed case'!$B$14*'Stressed case'!$B$5/'Stressed case'!$B$7*(B38-B39))-(MAX(0,'Stressed case'!$B$5/'Stressed case'!$B$7*B38*('Stressed case'!$B$11-'Stressed case'!$B$12)/12-(B95*'Stressed case'!$B$5)*'Stressed case'!$B$13/12))))/'Stressed case'!$B$5</f>
        <v>0</v>
      </c>
      <c r="C96" s="56" t="n">
        <f aca="false">MAX(0,((C95*'Stressed case'!$B$5)-('Stressed case'!$B$5/'Stressed case'!$B$7*(C38-C39)*IF(AND($A96&gt;='Stressed case'!$B$17,$A96&lt;'Stressed case'!$B$17+'Stressed case'!$B$16),1-'Stressed case'!$B$15,1)-'Stressed case'!$B$14*'Stressed case'!$B$5/'Stressed case'!$B$7*(C38-C39))-(MAX(0,'Stressed case'!$B$5/'Stressed case'!$B$7*C38*('Stressed case'!$B$11-'Stressed case'!$B$12)/12-(C95*'Stressed case'!$B$5)*'Stressed case'!$B$13/12))))/'Stressed case'!$B$5</f>
        <v>0</v>
      </c>
      <c r="D96" s="56" t="n">
        <f aca="false">MAX(0,((D95*'Stressed case'!$B$5)-('Stressed case'!$B$5/'Stressed case'!$B$7*(D38-D39)*IF(AND($A96&gt;='Stressed case'!$B$17,$A96&lt;'Stressed case'!$B$17+'Stressed case'!$B$16),1-'Stressed case'!$B$15,1)-'Stressed case'!$B$14*'Stressed case'!$B$5/'Stressed case'!$B$7*(D38-D39))-(MAX(0,'Stressed case'!$B$5/'Stressed case'!$B$7*D38*('Stressed case'!$B$11-'Stressed case'!$B$12)/12-(D95*'Stressed case'!$B$5)*'Stressed case'!$B$13/12))))/'Stressed case'!$B$5</f>
        <v>0</v>
      </c>
      <c r="E96" s="56" t="n">
        <f aca="false">MAX(0,((E95*'Stressed case'!$B$5)-('Stressed case'!$B$5/'Stressed case'!$B$7*(E38-E39)*IF(AND($A96&gt;='Stressed case'!$B$17,$A96&lt;'Stressed case'!$B$17+'Stressed case'!$B$16),1-'Stressed case'!$B$15,1)-'Stressed case'!$B$14*'Stressed case'!$B$5/'Stressed case'!$B$7*(E38-E39))-(MAX(0,'Stressed case'!$B$5/'Stressed case'!$B$7*E38*('Stressed case'!$B$11-'Stressed case'!$B$12)/12-(E95*'Stressed case'!$B$5)*'Stressed case'!$B$13/12))))/'Stressed case'!$B$5</f>
        <v>0.195780515876578</v>
      </c>
      <c r="F96" s="56" t="n">
        <f aca="false">MAX(0,((F95*'Stressed case'!$B$5)-('Stressed case'!$B$5/'Stressed case'!$B$7*(F38-F39)*IF(AND($A96&gt;='Stressed case'!$B$17,$A96&lt;'Stressed case'!$B$17+'Stressed case'!$B$16),1-'Stressed case'!$B$15,1)-'Stressed case'!$B$14*'Stressed case'!$B$5/'Stressed case'!$B$7*(F38-F39))-(MAX(0,'Stressed case'!$B$5/'Stressed case'!$B$7*F38*('Stressed case'!$B$11-'Stressed case'!$B$12)/12-(F95*'Stressed case'!$B$5)*'Stressed case'!$B$13/12))))/'Stressed case'!$B$5</f>
        <v>0.423861746102359</v>
      </c>
    </row>
    <row r="97" customFormat="false" ht="15" hidden="false" customHeight="false" outlineLevel="0" collapsed="false">
      <c r="A97" s="30" t="n">
        <v>27</v>
      </c>
      <c r="B97" s="11" t="n">
        <f aca="false">MAX(0,((B96*'Stressed case'!$B$5)-('Stressed case'!$B$5/'Stressed case'!$B$7*(B39-B40)*IF(AND($A97&gt;='Stressed case'!$B$17,$A97&lt;'Stressed case'!$B$17+'Stressed case'!$B$16),1-'Stressed case'!$B$15,1)-'Stressed case'!$B$14*'Stressed case'!$B$5/'Stressed case'!$B$7*(B39-B40))-(MAX(0,'Stressed case'!$B$5/'Stressed case'!$B$7*B39*('Stressed case'!$B$11-'Stressed case'!$B$12)/12-(B96*'Stressed case'!$B$5)*'Stressed case'!$B$13/12))))/'Stressed case'!$B$5</f>
        <v>0</v>
      </c>
      <c r="C97" s="11" t="n">
        <f aca="false">MAX(0,((C96*'Stressed case'!$B$5)-('Stressed case'!$B$5/'Stressed case'!$B$7*(C39-C40)*IF(AND($A97&gt;='Stressed case'!$B$17,$A97&lt;'Stressed case'!$B$17+'Stressed case'!$B$16),1-'Stressed case'!$B$15,1)-'Stressed case'!$B$14*'Stressed case'!$B$5/'Stressed case'!$B$7*(C39-C40))-(MAX(0,'Stressed case'!$B$5/'Stressed case'!$B$7*C39*('Stressed case'!$B$11-'Stressed case'!$B$12)/12-(C96*'Stressed case'!$B$5)*'Stressed case'!$B$13/12))))/'Stressed case'!$B$5</f>
        <v>0</v>
      </c>
      <c r="D97" s="11" t="n">
        <f aca="false">MAX(0,((D96*'Stressed case'!$B$5)-('Stressed case'!$B$5/'Stressed case'!$B$7*(D39-D40)*IF(AND($A97&gt;='Stressed case'!$B$17,$A97&lt;'Stressed case'!$B$17+'Stressed case'!$B$16),1-'Stressed case'!$B$15,1)-'Stressed case'!$B$14*'Stressed case'!$B$5/'Stressed case'!$B$7*(D39-D40))-(MAX(0,'Stressed case'!$B$5/'Stressed case'!$B$7*D39*('Stressed case'!$B$11-'Stressed case'!$B$12)/12-(D96*'Stressed case'!$B$5)*'Stressed case'!$B$13/12))))/'Stressed case'!$B$5</f>
        <v>0</v>
      </c>
      <c r="E97" s="11" t="n">
        <f aca="false">MAX(0,((E96*'Stressed case'!$B$5)-('Stressed case'!$B$5/'Stressed case'!$B$7*(E39-E40)*IF(AND($A97&gt;='Stressed case'!$B$17,$A97&lt;'Stressed case'!$B$17+'Stressed case'!$B$16),1-'Stressed case'!$B$15,1)-'Stressed case'!$B$14*'Stressed case'!$B$5/'Stressed case'!$B$7*(E39-E40))-(MAX(0,'Stressed case'!$B$5/'Stressed case'!$B$7*E39*('Stressed case'!$B$11-'Stressed case'!$B$12)/12-(E96*'Stressed case'!$B$5)*'Stressed case'!$B$13/12))))/'Stressed case'!$B$5</f>
        <v>0.161338262449274</v>
      </c>
      <c r="F97" s="11" t="n">
        <f aca="false">MAX(0,((F96*'Stressed case'!$B$5)-('Stressed case'!$B$5/'Stressed case'!$B$7*(F39-F40)*IF(AND($A97&gt;='Stressed case'!$B$17,$A97&lt;'Stressed case'!$B$17+'Stressed case'!$B$16),1-'Stressed case'!$B$15,1)-'Stressed case'!$B$14*'Stressed case'!$B$5/'Stressed case'!$B$7*(F39-F40))-(MAX(0,'Stressed case'!$B$5/'Stressed case'!$B$7*F39*('Stressed case'!$B$11-'Stressed case'!$B$12)/12-(F96*'Stressed case'!$B$5)*'Stressed case'!$B$13/12))))/'Stressed case'!$B$5</f>
        <v>0.399223311643706</v>
      </c>
    </row>
    <row r="98" customFormat="false" ht="15" hidden="false" customHeight="false" outlineLevel="0" collapsed="false">
      <c r="A98" s="45" t="n">
        <v>28</v>
      </c>
      <c r="B98" s="56" t="n">
        <f aca="false">MAX(0,((B97*'Stressed case'!$B$5)-('Stressed case'!$B$5/'Stressed case'!$B$7*(B40-B41)*IF(AND($A98&gt;='Stressed case'!$B$17,$A98&lt;'Stressed case'!$B$17+'Stressed case'!$B$16),1-'Stressed case'!$B$15,1)-'Stressed case'!$B$14*'Stressed case'!$B$5/'Stressed case'!$B$7*(B40-B41))-(MAX(0,'Stressed case'!$B$5/'Stressed case'!$B$7*B40*('Stressed case'!$B$11-'Stressed case'!$B$12)/12-(B97*'Stressed case'!$B$5)*'Stressed case'!$B$13/12))))/'Stressed case'!$B$5</f>
        <v>0</v>
      </c>
      <c r="C98" s="56" t="n">
        <f aca="false">MAX(0,((C97*'Stressed case'!$B$5)-('Stressed case'!$B$5/'Stressed case'!$B$7*(C40-C41)*IF(AND($A98&gt;='Stressed case'!$B$17,$A98&lt;'Stressed case'!$B$17+'Stressed case'!$B$16),1-'Stressed case'!$B$15,1)-'Stressed case'!$B$14*'Stressed case'!$B$5/'Stressed case'!$B$7*(C40-C41))-(MAX(0,'Stressed case'!$B$5/'Stressed case'!$B$7*C40*('Stressed case'!$B$11-'Stressed case'!$B$12)/12-(C97*'Stressed case'!$B$5)*'Stressed case'!$B$13/12))))/'Stressed case'!$B$5</f>
        <v>0</v>
      </c>
      <c r="D98" s="56" t="n">
        <f aca="false">MAX(0,((D97*'Stressed case'!$B$5)-('Stressed case'!$B$5/'Stressed case'!$B$7*(D40-D41)*IF(AND($A98&gt;='Stressed case'!$B$17,$A98&lt;'Stressed case'!$B$17+'Stressed case'!$B$16),1-'Stressed case'!$B$15,1)-'Stressed case'!$B$14*'Stressed case'!$B$5/'Stressed case'!$B$7*(D40-D41))-(MAX(0,'Stressed case'!$B$5/'Stressed case'!$B$7*D40*('Stressed case'!$B$11-'Stressed case'!$B$12)/12-(D97*'Stressed case'!$B$5)*'Stressed case'!$B$13/12))))/'Stressed case'!$B$5</f>
        <v>0</v>
      </c>
      <c r="E98" s="56" t="n">
        <f aca="false">MAX(0,((E97*'Stressed case'!$B$5)-('Stressed case'!$B$5/'Stressed case'!$B$7*(E40-E41)*IF(AND($A98&gt;='Stressed case'!$B$17,$A98&lt;'Stressed case'!$B$17+'Stressed case'!$B$16),1-'Stressed case'!$B$15,1)-'Stressed case'!$B$14*'Stressed case'!$B$5/'Stressed case'!$B$7*(E40-E41))-(MAX(0,'Stressed case'!$B$5/'Stressed case'!$B$7*E40*('Stressed case'!$B$11-'Stressed case'!$B$12)/12-(E97*'Stressed case'!$B$5)*'Stressed case'!$B$13/12))))/'Stressed case'!$B$5</f>
        <v>0.126638356239421</v>
      </c>
      <c r="F98" s="56" t="n">
        <f aca="false">MAX(0,((F97*'Stressed case'!$B$5)-('Stressed case'!$B$5/'Stressed case'!$B$7*(F40-F41)*IF(AND($A98&gt;='Stressed case'!$B$17,$A98&lt;'Stressed case'!$B$17+'Stressed case'!$B$16),1-'Stressed case'!$B$15,1)-'Stressed case'!$B$14*'Stressed case'!$B$5/'Stressed case'!$B$7*(F40-F41))-(MAX(0,'Stressed case'!$B$5/'Stressed case'!$B$7*F40*('Stressed case'!$B$11-'Stressed case'!$B$12)/12-(F97*'Stressed case'!$B$5)*'Stressed case'!$B$13/12))))/'Stressed case'!$B$5</f>
        <v>0.374401180849769</v>
      </c>
    </row>
    <row r="99" customFormat="false" ht="15" hidden="false" customHeight="false" outlineLevel="0" collapsed="false">
      <c r="A99" s="30" t="n">
        <v>29</v>
      </c>
      <c r="B99" s="11" t="n">
        <f aca="false">MAX(0,((B98*'Stressed case'!$B$5)-('Stressed case'!$B$5/'Stressed case'!$B$7*(B41-B42)*IF(AND($A99&gt;='Stressed case'!$B$17,$A99&lt;'Stressed case'!$B$17+'Stressed case'!$B$16),1-'Stressed case'!$B$15,1)-'Stressed case'!$B$14*'Stressed case'!$B$5/'Stressed case'!$B$7*(B41-B42))-(MAX(0,'Stressed case'!$B$5/'Stressed case'!$B$7*B41*('Stressed case'!$B$11-'Stressed case'!$B$12)/12-(B98*'Stressed case'!$B$5)*'Stressed case'!$B$13/12))))/'Stressed case'!$B$5</f>
        <v>0</v>
      </c>
      <c r="C99" s="11" t="n">
        <f aca="false">MAX(0,((C98*'Stressed case'!$B$5)-('Stressed case'!$B$5/'Stressed case'!$B$7*(C41-C42)*IF(AND($A99&gt;='Stressed case'!$B$17,$A99&lt;'Stressed case'!$B$17+'Stressed case'!$B$16),1-'Stressed case'!$B$15,1)-'Stressed case'!$B$14*'Stressed case'!$B$5/'Stressed case'!$B$7*(C41-C42))-(MAX(0,'Stressed case'!$B$5/'Stressed case'!$B$7*C41*('Stressed case'!$B$11-'Stressed case'!$B$12)/12-(C98*'Stressed case'!$B$5)*'Stressed case'!$B$13/12))))/'Stressed case'!$B$5</f>
        <v>0</v>
      </c>
      <c r="D99" s="11" t="n">
        <f aca="false">MAX(0,((D98*'Stressed case'!$B$5)-('Stressed case'!$B$5/'Stressed case'!$B$7*(D41-D42)*IF(AND($A99&gt;='Stressed case'!$B$17,$A99&lt;'Stressed case'!$B$17+'Stressed case'!$B$16),1-'Stressed case'!$B$15,1)-'Stressed case'!$B$14*'Stressed case'!$B$5/'Stressed case'!$B$7*(D41-D42))-(MAX(0,'Stressed case'!$B$5/'Stressed case'!$B$7*D41*('Stressed case'!$B$11-'Stressed case'!$B$12)/12-(D98*'Stressed case'!$B$5)*'Stressed case'!$B$13/12))))/'Stressed case'!$B$5</f>
        <v>0</v>
      </c>
      <c r="E99" s="11" t="n">
        <f aca="false">MAX(0,((E98*'Stressed case'!$B$5)-('Stressed case'!$B$5/'Stressed case'!$B$7*(E41-E42)*IF(AND($A99&gt;='Stressed case'!$B$17,$A99&lt;'Stressed case'!$B$17+'Stressed case'!$B$16),1-'Stressed case'!$B$15,1)-'Stressed case'!$B$14*'Stressed case'!$B$5/'Stressed case'!$B$7*(E41-E42))-(MAX(0,'Stressed case'!$B$5/'Stressed case'!$B$7*E41*('Stressed case'!$B$11-'Stressed case'!$B$12)/12-(E98*'Stressed case'!$B$5)*'Stressed case'!$B$13/12))))/'Stressed case'!$B$5</f>
        <v>0.0916788327960213</v>
      </c>
      <c r="F99" s="11" t="n">
        <f aca="false">MAX(0,((F98*'Stressed case'!$B$5)-('Stressed case'!$B$5/'Stressed case'!$B$7*(F41-F42)*IF(AND($A99&gt;='Stressed case'!$B$17,$A99&lt;'Stressed case'!$B$17+'Stressed case'!$B$16),1-'Stressed case'!$B$15,1)-'Stressed case'!$B$14*'Stressed case'!$B$5/'Stressed case'!$B$7*(F41-F42))-(MAX(0,'Stressed case'!$B$5/'Stressed case'!$B$7*F41*('Stressed case'!$B$11-'Stressed case'!$B$12)/12-(F98*'Stressed case'!$B$5)*'Stressed case'!$B$13/12))))/'Stressed case'!$B$5</f>
        <v>0.349393961060496</v>
      </c>
    </row>
    <row r="100" customFormat="false" ht="15" hidden="false" customHeight="false" outlineLevel="0" collapsed="false">
      <c r="A100" s="45" t="n">
        <v>30</v>
      </c>
      <c r="B100" s="56" t="n">
        <f aca="false">MAX(0,((B99*'Stressed case'!$B$5)-('Stressed case'!$B$5/'Stressed case'!$B$7*(B42-B43)*IF(AND($A100&gt;='Stressed case'!$B$17,$A100&lt;'Stressed case'!$B$17+'Stressed case'!$B$16),1-'Stressed case'!$B$15,1)-'Stressed case'!$B$14*'Stressed case'!$B$5/'Stressed case'!$B$7*(B42-B43))-(MAX(0,'Stressed case'!$B$5/'Stressed case'!$B$7*B42*('Stressed case'!$B$11-'Stressed case'!$B$12)/12-(B99*'Stressed case'!$B$5)*'Stressed case'!$B$13/12))))/'Stressed case'!$B$5</f>
        <v>0</v>
      </c>
      <c r="C100" s="56" t="n">
        <f aca="false">MAX(0,((C99*'Stressed case'!$B$5)-('Stressed case'!$B$5/'Stressed case'!$B$7*(C42-C43)*IF(AND($A100&gt;='Stressed case'!$B$17,$A100&lt;'Stressed case'!$B$17+'Stressed case'!$B$16),1-'Stressed case'!$B$15,1)-'Stressed case'!$B$14*'Stressed case'!$B$5/'Stressed case'!$B$7*(C42-C43))-(MAX(0,'Stressed case'!$B$5/'Stressed case'!$B$7*C42*('Stressed case'!$B$11-'Stressed case'!$B$12)/12-(C99*'Stressed case'!$B$5)*'Stressed case'!$B$13/12))))/'Stressed case'!$B$5</f>
        <v>0</v>
      </c>
      <c r="D100" s="56" t="n">
        <f aca="false">MAX(0,((D99*'Stressed case'!$B$5)-('Stressed case'!$B$5/'Stressed case'!$B$7*(D42-D43)*IF(AND($A100&gt;='Stressed case'!$B$17,$A100&lt;'Stressed case'!$B$17+'Stressed case'!$B$16),1-'Stressed case'!$B$15,1)-'Stressed case'!$B$14*'Stressed case'!$B$5/'Stressed case'!$B$7*(D42-D43))-(MAX(0,'Stressed case'!$B$5/'Stressed case'!$B$7*D42*('Stressed case'!$B$11-'Stressed case'!$B$12)/12-(D99*'Stressed case'!$B$5)*'Stressed case'!$B$13/12))))/'Stressed case'!$B$5</f>
        <v>0</v>
      </c>
      <c r="E100" s="56" t="n">
        <f aca="false">MAX(0,((E99*'Stressed case'!$B$5)-('Stressed case'!$B$5/'Stressed case'!$B$7*(E42-E43)*IF(AND($A100&gt;='Stressed case'!$B$17,$A100&lt;'Stressed case'!$B$17+'Stressed case'!$B$16),1-'Stressed case'!$B$15,1)-'Stressed case'!$B$14*'Stressed case'!$B$5/'Stressed case'!$B$7*(E42-E43))-(MAX(0,'Stressed case'!$B$5/'Stressed case'!$B$7*E42*('Stressed case'!$B$11-'Stressed case'!$B$12)/12-(E99*'Stressed case'!$B$5)*'Stressed case'!$B$13/12))))/'Stressed case'!$B$5</f>
        <v>0.0564577122151395</v>
      </c>
      <c r="F100" s="56" t="n">
        <f aca="false">MAX(0,((F99*'Stressed case'!$B$5)-('Stressed case'!$B$5/'Stressed case'!$B$7*(F42-F43)*IF(AND($A100&gt;='Stressed case'!$B$17,$A100&lt;'Stressed case'!$B$17+'Stressed case'!$B$16),1-'Stressed case'!$B$15,1)-'Stressed case'!$B$14*'Stressed case'!$B$5/'Stressed case'!$B$7*(F42-F43))-(MAX(0,'Stressed case'!$B$5/'Stressed case'!$B$7*F42*('Stressed case'!$B$11-'Stressed case'!$B$12)/12-(F99*'Stressed case'!$B$5)*'Stressed case'!$B$13/12))))/'Stressed case'!$B$5</f>
        <v>0.324200248760458</v>
      </c>
    </row>
    <row r="101" customFormat="false" ht="15" hidden="false" customHeight="false" outlineLevel="0" collapsed="false">
      <c r="A101" s="30" t="n">
        <v>31</v>
      </c>
      <c r="B101" s="11" t="n">
        <f aca="false">MAX(0,((B100*'Stressed case'!$B$5)-('Stressed case'!$B$5/'Stressed case'!$B$7*(B43-B44)*IF(AND($A101&gt;='Stressed case'!$B$17,$A101&lt;'Stressed case'!$B$17+'Stressed case'!$B$16),1-'Stressed case'!$B$15,1)-'Stressed case'!$B$14*'Stressed case'!$B$5/'Stressed case'!$B$7*(B43-B44))-(MAX(0,'Stressed case'!$B$5/'Stressed case'!$B$7*B43*('Stressed case'!$B$11-'Stressed case'!$B$12)/12-(B100*'Stressed case'!$B$5)*'Stressed case'!$B$13/12))))/'Stressed case'!$B$5</f>
        <v>0</v>
      </c>
      <c r="C101" s="11" t="n">
        <f aca="false">MAX(0,((C100*'Stressed case'!$B$5)-('Stressed case'!$B$5/'Stressed case'!$B$7*(C43-C44)*IF(AND($A101&gt;='Stressed case'!$B$17,$A101&lt;'Stressed case'!$B$17+'Stressed case'!$B$16),1-'Stressed case'!$B$15,1)-'Stressed case'!$B$14*'Stressed case'!$B$5/'Stressed case'!$B$7*(C43-C44))-(MAX(0,'Stressed case'!$B$5/'Stressed case'!$B$7*C43*('Stressed case'!$B$11-'Stressed case'!$B$12)/12-(C100*'Stressed case'!$B$5)*'Stressed case'!$B$13/12))))/'Stressed case'!$B$5</f>
        <v>0</v>
      </c>
      <c r="D101" s="11" t="n">
        <f aca="false">MAX(0,((D100*'Stressed case'!$B$5)-('Stressed case'!$B$5/'Stressed case'!$B$7*(D43-D44)*IF(AND($A101&gt;='Stressed case'!$B$17,$A101&lt;'Stressed case'!$B$17+'Stressed case'!$B$16),1-'Stressed case'!$B$15,1)-'Stressed case'!$B$14*'Stressed case'!$B$5/'Stressed case'!$B$7*(D43-D44))-(MAX(0,'Stressed case'!$B$5/'Stressed case'!$B$7*D43*('Stressed case'!$B$11-'Stressed case'!$B$12)/12-(D100*'Stressed case'!$B$5)*'Stressed case'!$B$13/12))))/'Stressed case'!$B$5</f>
        <v>0</v>
      </c>
      <c r="E101" s="11" t="n">
        <f aca="false">MAX(0,((E100*'Stressed case'!$B$5)-('Stressed case'!$B$5/'Stressed case'!$B$7*(E43-E44)*IF(AND($A101&gt;='Stressed case'!$B$17,$A101&lt;'Stressed case'!$B$17+'Stressed case'!$B$16),1-'Stressed case'!$B$15,1)-'Stressed case'!$B$14*'Stressed case'!$B$5/'Stressed case'!$B$7*(E43-E44))-(MAX(0,'Stressed case'!$B$5/'Stressed case'!$B$7*E43*('Stressed case'!$B$11-'Stressed case'!$B$12)/12-(E100*'Stressed case'!$B$5)*'Stressed case'!$B$13/12))))/'Stressed case'!$B$5</f>
        <v>0.0209729990123624</v>
      </c>
      <c r="F101" s="11" t="n">
        <f aca="false">MAX(0,((F100*'Stressed case'!$B$5)-('Stressed case'!$B$5/'Stressed case'!$B$7*(F43-F44)*IF(AND($A101&gt;='Stressed case'!$B$17,$A101&lt;'Stressed case'!$B$17+'Stressed case'!$B$16),1-'Stressed case'!$B$15,1)-'Stressed case'!$B$14*'Stressed case'!$B$5/'Stressed case'!$B$7*(F43-F44))-(MAX(0,'Stressed case'!$B$5/'Stressed case'!$B$7*F43*('Stressed case'!$B$11-'Stressed case'!$B$12)/12-(F100*'Stressed case'!$B$5)*'Stressed case'!$B$13/12))))/'Stressed case'!$B$5</f>
        <v>0.298818629490464</v>
      </c>
    </row>
    <row r="102" customFormat="false" ht="15" hidden="false" customHeight="false" outlineLevel="0" collapsed="false">
      <c r="A102" s="45" t="n">
        <v>32</v>
      </c>
      <c r="B102" s="56" t="n">
        <f aca="false">MAX(0,((B101*'Stressed case'!$B$5)-('Stressed case'!$B$5/'Stressed case'!$B$7*(B44-B45)*IF(AND($A102&gt;='Stressed case'!$B$17,$A102&lt;'Stressed case'!$B$17+'Stressed case'!$B$16),1-'Stressed case'!$B$15,1)-'Stressed case'!$B$14*'Stressed case'!$B$5/'Stressed case'!$B$7*(B44-B45))-(MAX(0,'Stressed case'!$B$5/'Stressed case'!$B$7*B44*('Stressed case'!$B$11-'Stressed case'!$B$12)/12-(B101*'Stressed case'!$B$5)*'Stressed case'!$B$13/12))))/'Stressed case'!$B$5</f>
        <v>0</v>
      </c>
      <c r="C102" s="56" t="n">
        <f aca="false">MAX(0,((C101*'Stressed case'!$B$5)-('Stressed case'!$B$5/'Stressed case'!$B$7*(C44-C45)*IF(AND($A102&gt;='Stressed case'!$B$17,$A102&lt;'Stressed case'!$B$17+'Stressed case'!$B$16),1-'Stressed case'!$B$15,1)-'Stressed case'!$B$14*'Stressed case'!$B$5/'Stressed case'!$B$7*(C44-C45))-(MAX(0,'Stressed case'!$B$5/'Stressed case'!$B$7*C44*('Stressed case'!$B$11-'Stressed case'!$B$12)/12-(C101*'Stressed case'!$B$5)*'Stressed case'!$B$13/12))))/'Stressed case'!$B$5</f>
        <v>0</v>
      </c>
      <c r="D102" s="56" t="n">
        <f aca="false">MAX(0,((D101*'Stressed case'!$B$5)-('Stressed case'!$B$5/'Stressed case'!$B$7*(D44-D45)*IF(AND($A102&gt;='Stressed case'!$B$17,$A102&lt;'Stressed case'!$B$17+'Stressed case'!$B$16),1-'Stressed case'!$B$15,1)-'Stressed case'!$B$14*'Stressed case'!$B$5/'Stressed case'!$B$7*(D44-D45))-(MAX(0,'Stressed case'!$B$5/'Stressed case'!$B$7*D44*('Stressed case'!$B$11-'Stressed case'!$B$12)/12-(D101*'Stressed case'!$B$5)*'Stressed case'!$B$13/12))))/'Stressed case'!$B$5</f>
        <v>0</v>
      </c>
      <c r="E102" s="56" t="n">
        <f aca="false">MAX(0,((E101*'Stressed case'!$B$5)-('Stressed case'!$B$5/'Stressed case'!$B$7*(E44-E45)*IF(AND($A102&gt;='Stressed case'!$B$17,$A102&lt;'Stressed case'!$B$17+'Stressed case'!$B$16),1-'Stressed case'!$B$15,1)-'Stressed case'!$B$14*'Stressed case'!$B$5/'Stressed case'!$B$7*(E44-E45))-(MAX(0,'Stressed case'!$B$5/'Stressed case'!$B$7*E44*('Stressed case'!$B$11-'Stressed case'!$B$12)/12-(E101*'Stressed case'!$B$5)*'Stressed case'!$B$13/12))))/'Stressed case'!$B$5</f>
        <v>0</v>
      </c>
      <c r="F102" s="56" t="n">
        <f aca="false">MAX(0,((F101*'Stressed case'!$B$5)-('Stressed case'!$B$5/'Stressed case'!$B$7*(F44-F45)*IF(AND($A102&gt;='Stressed case'!$B$17,$A102&lt;'Stressed case'!$B$17+'Stressed case'!$B$16),1-'Stressed case'!$B$15,1)-'Stressed case'!$B$14*'Stressed case'!$B$5/'Stressed case'!$B$7*(F44-F45))-(MAX(0,'Stressed case'!$B$5/'Stressed case'!$B$7*F44*('Stressed case'!$B$11-'Stressed case'!$B$12)/12-(F101*'Stressed case'!$B$5)*'Stressed case'!$B$13/12))))/'Stressed case'!$B$5</f>
        <v>0.273247677758427</v>
      </c>
    </row>
    <row r="103" customFormat="false" ht="15" hidden="false" customHeight="false" outlineLevel="0" collapsed="false">
      <c r="A103" s="30" t="n">
        <v>33</v>
      </c>
      <c r="B103" s="11" t="n">
        <f aca="false">MAX(0,((B102*'Stressed case'!$B$5)-('Stressed case'!$B$5/'Stressed case'!$B$7*(B45-B46)*IF(AND($A103&gt;='Stressed case'!$B$17,$A103&lt;'Stressed case'!$B$17+'Stressed case'!$B$16),1-'Stressed case'!$B$15,1)-'Stressed case'!$B$14*'Stressed case'!$B$5/'Stressed case'!$B$7*(B45-B46))-(MAX(0,'Stressed case'!$B$5/'Stressed case'!$B$7*B45*('Stressed case'!$B$11-'Stressed case'!$B$12)/12-(B102*'Stressed case'!$B$5)*'Stressed case'!$B$13/12))))/'Stressed case'!$B$5</f>
        <v>0</v>
      </c>
      <c r="C103" s="11" t="n">
        <f aca="false">MAX(0,((C102*'Stressed case'!$B$5)-('Stressed case'!$B$5/'Stressed case'!$B$7*(C45-C46)*IF(AND($A103&gt;='Stressed case'!$B$17,$A103&lt;'Stressed case'!$B$17+'Stressed case'!$B$16),1-'Stressed case'!$B$15,1)-'Stressed case'!$B$14*'Stressed case'!$B$5/'Stressed case'!$B$7*(C45-C46))-(MAX(0,'Stressed case'!$B$5/'Stressed case'!$B$7*C45*('Stressed case'!$B$11-'Stressed case'!$B$12)/12-(C102*'Stressed case'!$B$5)*'Stressed case'!$B$13/12))))/'Stressed case'!$B$5</f>
        <v>0</v>
      </c>
      <c r="D103" s="11" t="n">
        <f aca="false">MAX(0,((D102*'Stressed case'!$B$5)-('Stressed case'!$B$5/'Stressed case'!$B$7*(D45-D46)*IF(AND($A103&gt;='Stressed case'!$B$17,$A103&lt;'Stressed case'!$B$17+'Stressed case'!$B$16),1-'Stressed case'!$B$15,1)-'Stressed case'!$B$14*'Stressed case'!$B$5/'Stressed case'!$B$7*(D45-D46))-(MAX(0,'Stressed case'!$B$5/'Stressed case'!$B$7*D45*('Stressed case'!$B$11-'Stressed case'!$B$12)/12-(D102*'Stressed case'!$B$5)*'Stressed case'!$B$13/12))))/'Stressed case'!$B$5</f>
        <v>0</v>
      </c>
      <c r="E103" s="11" t="n">
        <f aca="false">MAX(0,((E102*'Stressed case'!$B$5)-('Stressed case'!$B$5/'Stressed case'!$B$7*(E45-E46)*IF(AND($A103&gt;='Stressed case'!$B$17,$A103&lt;'Stressed case'!$B$17+'Stressed case'!$B$16),1-'Stressed case'!$B$15,1)-'Stressed case'!$B$14*'Stressed case'!$B$5/'Stressed case'!$B$7*(E45-E46))-(MAX(0,'Stressed case'!$B$5/'Stressed case'!$B$7*E45*('Stressed case'!$B$11-'Stressed case'!$B$12)/12-(E102*'Stressed case'!$B$5)*'Stressed case'!$B$13/12))))/'Stressed case'!$B$5</f>
        <v>0</v>
      </c>
      <c r="F103" s="11" t="n">
        <f aca="false">MAX(0,((F102*'Stressed case'!$B$5)-('Stressed case'!$B$5/'Stressed case'!$B$7*(F45-F46)*IF(AND($A103&gt;='Stressed case'!$B$17,$A103&lt;'Stressed case'!$B$17+'Stressed case'!$B$16),1-'Stressed case'!$B$15,1)-'Stressed case'!$B$14*'Stressed case'!$B$5/'Stressed case'!$B$7*(F45-F46))-(MAX(0,'Stressed case'!$B$5/'Stressed case'!$B$7*F45*('Stressed case'!$B$11-'Stressed case'!$B$12)/12-(F102*'Stressed case'!$B$5)*'Stressed case'!$B$13/12))))/'Stressed case'!$B$5</f>
        <v>0.247485956949436</v>
      </c>
    </row>
    <row r="104" customFormat="false" ht="15" hidden="false" customHeight="false" outlineLevel="0" collapsed="false">
      <c r="A104" s="45" t="n">
        <v>34</v>
      </c>
      <c r="B104" s="56" t="n">
        <f aca="false">MAX(0,((B103*'Stressed case'!$B$5)-('Stressed case'!$B$5/'Stressed case'!$B$7*(B46-B47)*IF(AND($A104&gt;='Stressed case'!$B$17,$A104&lt;'Stressed case'!$B$17+'Stressed case'!$B$16),1-'Stressed case'!$B$15,1)-'Stressed case'!$B$14*'Stressed case'!$B$5/'Stressed case'!$B$7*(B46-B47))-(MAX(0,'Stressed case'!$B$5/'Stressed case'!$B$7*B46*('Stressed case'!$B$11-'Stressed case'!$B$12)/12-(B103*'Stressed case'!$B$5)*'Stressed case'!$B$13/12))))/'Stressed case'!$B$5</f>
        <v>0</v>
      </c>
      <c r="C104" s="56" t="n">
        <f aca="false">MAX(0,((C103*'Stressed case'!$B$5)-('Stressed case'!$B$5/'Stressed case'!$B$7*(C46-C47)*IF(AND($A104&gt;='Stressed case'!$B$17,$A104&lt;'Stressed case'!$B$17+'Stressed case'!$B$16),1-'Stressed case'!$B$15,1)-'Stressed case'!$B$14*'Stressed case'!$B$5/'Stressed case'!$B$7*(C46-C47))-(MAX(0,'Stressed case'!$B$5/'Stressed case'!$B$7*C46*('Stressed case'!$B$11-'Stressed case'!$B$12)/12-(C103*'Stressed case'!$B$5)*'Stressed case'!$B$13/12))))/'Stressed case'!$B$5</f>
        <v>0</v>
      </c>
      <c r="D104" s="56" t="n">
        <f aca="false">MAX(0,((D103*'Stressed case'!$B$5)-('Stressed case'!$B$5/'Stressed case'!$B$7*(D46-D47)*IF(AND($A104&gt;='Stressed case'!$B$17,$A104&lt;'Stressed case'!$B$17+'Stressed case'!$B$16),1-'Stressed case'!$B$15,1)-'Stressed case'!$B$14*'Stressed case'!$B$5/'Stressed case'!$B$7*(D46-D47))-(MAX(0,'Stressed case'!$B$5/'Stressed case'!$B$7*D46*('Stressed case'!$B$11-'Stressed case'!$B$12)/12-(D103*'Stressed case'!$B$5)*'Stressed case'!$B$13/12))))/'Stressed case'!$B$5</f>
        <v>0</v>
      </c>
      <c r="E104" s="56" t="n">
        <f aca="false">MAX(0,((E103*'Stressed case'!$B$5)-('Stressed case'!$B$5/'Stressed case'!$B$7*(E46-E47)*IF(AND($A104&gt;='Stressed case'!$B$17,$A104&lt;'Stressed case'!$B$17+'Stressed case'!$B$16),1-'Stressed case'!$B$15,1)-'Stressed case'!$B$14*'Stressed case'!$B$5/'Stressed case'!$B$7*(E46-E47))-(MAX(0,'Stressed case'!$B$5/'Stressed case'!$B$7*E46*('Stressed case'!$B$11-'Stressed case'!$B$12)/12-(E103*'Stressed case'!$B$5)*'Stressed case'!$B$13/12))))/'Stressed case'!$B$5</f>
        <v>0</v>
      </c>
      <c r="F104" s="56" t="n">
        <f aca="false">MAX(0,((F103*'Stressed case'!$B$5)-('Stressed case'!$B$5/'Stressed case'!$B$7*(F46-F47)*IF(AND($A104&gt;='Stressed case'!$B$17,$A104&lt;'Stressed case'!$B$17+'Stressed case'!$B$16),1-'Stressed case'!$B$15,1)-'Stressed case'!$B$14*'Stressed case'!$B$5/'Stressed case'!$B$7*(F46-F47))-(MAX(0,'Stressed case'!$B$5/'Stressed case'!$B$7*F46*('Stressed case'!$B$11-'Stressed case'!$B$12)/12-(F103*'Stressed case'!$B$5)*'Stressed case'!$B$13/12))))/'Stressed case'!$B$5</f>
        <v>0.22153201923507</v>
      </c>
    </row>
    <row r="105" customFormat="false" ht="15" hidden="false" customHeight="false" outlineLevel="0" collapsed="false">
      <c r="A105" s="30" t="n">
        <v>35</v>
      </c>
      <c r="B105" s="11" t="n">
        <f aca="false">MAX(0,((B104*'Stressed case'!$B$5)-('Stressed case'!$B$5/'Stressed case'!$B$7*(B47-B48)*IF(AND($A105&gt;='Stressed case'!$B$17,$A105&lt;'Stressed case'!$B$17+'Stressed case'!$B$16),1-'Stressed case'!$B$15,1)-'Stressed case'!$B$14*'Stressed case'!$B$5/'Stressed case'!$B$7*(B47-B48))-(MAX(0,'Stressed case'!$B$5/'Stressed case'!$B$7*B47*('Stressed case'!$B$11-'Stressed case'!$B$12)/12-(B104*'Stressed case'!$B$5)*'Stressed case'!$B$13/12))))/'Stressed case'!$B$5</f>
        <v>0</v>
      </c>
      <c r="C105" s="11" t="n">
        <f aca="false">MAX(0,((C104*'Stressed case'!$B$5)-('Stressed case'!$B$5/'Stressed case'!$B$7*(C47-C48)*IF(AND($A105&gt;='Stressed case'!$B$17,$A105&lt;'Stressed case'!$B$17+'Stressed case'!$B$16),1-'Stressed case'!$B$15,1)-'Stressed case'!$B$14*'Stressed case'!$B$5/'Stressed case'!$B$7*(C47-C48))-(MAX(0,'Stressed case'!$B$5/'Stressed case'!$B$7*C47*('Stressed case'!$B$11-'Stressed case'!$B$12)/12-(C104*'Stressed case'!$B$5)*'Stressed case'!$B$13/12))))/'Stressed case'!$B$5</f>
        <v>0</v>
      </c>
      <c r="D105" s="11" t="n">
        <f aca="false">MAX(0,((D104*'Stressed case'!$B$5)-('Stressed case'!$B$5/'Stressed case'!$B$7*(D47-D48)*IF(AND($A105&gt;='Stressed case'!$B$17,$A105&lt;'Stressed case'!$B$17+'Stressed case'!$B$16),1-'Stressed case'!$B$15,1)-'Stressed case'!$B$14*'Stressed case'!$B$5/'Stressed case'!$B$7*(D47-D48))-(MAX(0,'Stressed case'!$B$5/'Stressed case'!$B$7*D47*('Stressed case'!$B$11-'Stressed case'!$B$12)/12-(D104*'Stressed case'!$B$5)*'Stressed case'!$B$13/12))))/'Stressed case'!$B$5</f>
        <v>0</v>
      </c>
      <c r="E105" s="11" t="n">
        <f aca="false">MAX(0,((E104*'Stressed case'!$B$5)-('Stressed case'!$B$5/'Stressed case'!$B$7*(E47-E48)*IF(AND($A105&gt;='Stressed case'!$B$17,$A105&lt;'Stressed case'!$B$17+'Stressed case'!$B$16),1-'Stressed case'!$B$15,1)-'Stressed case'!$B$14*'Stressed case'!$B$5/'Stressed case'!$B$7*(E47-E48))-(MAX(0,'Stressed case'!$B$5/'Stressed case'!$B$7*E47*('Stressed case'!$B$11-'Stressed case'!$B$12)/12-(E104*'Stressed case'!$B$5)*'Stressed case'!$B$13/12))))/'Stressed case'!$B$5</f>
        <v>0</v>
      </c>
      <c r="F105" s="11" t="n">
        <f aca="false">MAX(0,((F104*'Stressed case'!$B$5)-('Stressed case'!$B$5/'Stressed case'!$B$7*(F47-F48)*IF(AND($A105&gt;='Stressed case'!$B$17,$A105&lt;'Stressed case'!$B$17+'Stressed case'!$B$16),1-'Stressed case'!$B$15,1)-'Stressed case'!$B$14*'Stressed case'!$B$5/'Stressed case'!$B$7*(F47-F48))-(MAX(0,'Stressed case'!$B$5/'Stressed case'!$B$7*F47*('Stressed case'!$B$11-'Stressed case'!$B$12)/12-(F104*'Stressed case'!$B$5)*'Stressed case'!$B$13/12))))/'Stressed case'!$B$5</f>
        <v>0.195384405481903</v>
      </c>
    </row>
    <row r="106" customFormat="false" ht="15" hidden="false" customHeight="false" outlineLevel="0" collapsed="false">
      <c r="A106" s="45" t="n">
        <v>36</v>
      </c>
      <c r="B106" s="56" t="n">
        <f aca="false">MAX(0,((B105*'Stressed case'!$B$5)-('Stressed case'!$B$5/'Stressed case'!$B$7*(B48-B49)*IF(AND($A106&gt;='Stressed case'!$B$17,$A106&lt;'Stressed case'!$B$17+'Stressed case'!$B$16),1-'Stressed case'!$B$15,1)-'Stressed case'!$B$14*'Stressed case'!$B$5/'Stressed case'!$B$7*(B48-B49))-(MAX(0,'Stressed case'!$B$5/'Stressed case'!$B$7*B48*('Stressed case'!$B$11-'Stressed case'!$B$12)/12-(B105*'Stressed case'!$B$5)*'Stressed case'!$B$13/12))))/'Stressed case'!$B$5</f>
        <v>0</v>
      </c>
      <c r="C106" s="56" t="n">
        <f aca="false">MAX(0,((C105*'Stressed case'!$B$5)-('Stressed case'!$B$5/'Stressed case'!$B$7*(C48-C49)*IF(AND($A106&gt;='Stressed case'!$B$17,$A106&lt;'Stressed case'!$B$17+'Stressed case'!$B$16),1-'Stressed case'!$B$15,1)-'Stressed case'!$B$14*'Stressed case'!$B$5/'Stressed case'!$B$7*(C48-C49))-(MAX(0,'Stressed case'!$B$5/'Stressed case'!$B$7*C48*('Stressed case'!$B$11-'Stressed case'!$B$12)/12-(C105*'Stressed case'!$B$5)*'Stressed case'!$B$13/12))))/'Stressed case'!$B$5</f>
        <v>0</v>
      </c>
      <c r="D106" s="56" t="n">
        <f aca="false">MAX(0,((D105*'Stressed case'!$B$5)-('Stressed case'!$B$5/'Stressed case'!$B$7*(D48-D49)*IF(AND($A106&gt;='Stressed case'!$B$17,$A106&lt;'Stressed case'!$B$17+'Stressed case'!$B$16),1-'Stressed case'!$B$15,1)-'Stressed case'!$B$14*'Stressed case'!$B$5/'Stressed case'!$B$7*(D48-D49))-(MAX(0,'Stressed case'!$B$5/'Stressed case'!$B$7*D48*('Stressed case'!$B$11-'Stressed case'!$B$12)/12-(D105*'Stressed case'!$B$5)*'Stressed case'!$B$13/12))))/'Stressed case'!$B$5</f>
        <v>0</v>
      </c>
      <c r="E106" s="56" t="n">
        <f aca="false">MAX(0,((E105*'Stressed case'!$B$5)-('Stressed case'!$B$5/'Stressed case'!$B$7*(E48-E49)*IF(AND($A106&gt;='Stressed case'!$B$17,$A106&lt;'Stressed case'!$B$17+'Stressed case'!$B$16),1-'Stressed case'!$B$15,1)-'Stressed case'!$B$14*'Stressed case'!$B$5/'Stressed case'!$B$7*(E48-E49))-(MAX(0,'Stressed case'!$B$5/'Stressed case'!$B$7*E48*('Stressed case'!$B$11-'Stressed case'!$B$12)/12-(E105*'Stressed case'!$B$5)*'Stressed case'!$B$13/12))))/'Stressed case'!$B$5</f>
        <v>0</v>
      </c>
      <c r="F106" s="56" t="n">
        <f aca="false">MAX(0,((F105*'Stressed case'!$B$5)-('Stressed case'!$B$5/'Stressed case'!$B$7*(F48-F49)*IF(AND($A106&gt;='Stressed case'!$B$17,$A106&lt;'Stressed case'!$B$17+'Stressed case'!$B$16),1-'Stressed case'!$B$15,1)-'Stressed case'!$B$14*'Stressed case'!$B$5/'Stressed case'!$B$7*(F48-F49))-(MAX(0,'Stressed case'!$B$5/'Stressed case'!$B$7*F48*('Stressed case'!$B$11-'Stressed case'!$B$12)/12-(F105*'Stressed case'!$B$5)*'Stressed case'!$B$13/12))))/'Stressed case'!$B$5</f>
        <v>0.169041645159232</v>
      </c>
    </row>
    <row r="107" customFormat="false" ht="15" hidden="false" customHeight="false" outlineLevel="0" collapsed="false">
      <c r="A107" s="30" t="n">
        <v>37</v>
      </c>
      <c r="B107" s="11" t="n">
        <f aca="false">MAX(0,((B106*'Stressed case'!$B$5)-('Stressed case'!$B$5/'Stressed case'!$B$7*(B49-B50)*IF(AND($A107&gt;='Stressed case'!$B$17,$A107&lt;'Stressed case'!$B$17+'Stressed case'!$B$16),1-'Stressed case'!$B$15,1)-'Stressed case'!$B$14*'Stressed case'!$B$5/'Stressed case'!$B$7*(B49-B50))-(MAX(0,'Stressed case'!$B$5/'Stressed case'!$B$7*B49*('Stressed case'!$B$11-'Stressed case'!$B$12)/12-(B106*'Stressed case'!$B$5)*'Stressed case'!$B$13/12))))/'Stressed case'!$B$5</f>
        <v>0</v>
      </c>
      <c r="C107" s="11" t="n">
        <f aca="false">MAX(0,((C106*'Stressed case'!$B$5)-('Stressed case'!$B$5/'Stressed case'!$B$7*(C49-C50)*IF(AND($A107&gt;='Stressed case'!$B$17,$A107&lt;'Stressed case'!$B$17+'Stressed case'!$B$16),1-'Stressed case'!$B$15,1)-'Stressed case'!$B$14*'Stressed case'!$B$5/'Stressed case'!$B$7*(C49-C50))-(MAX(0,'Stressed case'!$B$5/'Stressed case'!$B$7*C49*('Stressed case'!$B$11-'Stressed case'!$B$12)/12-(C106*'Stressed case'!$B$5)*'Stressed case'!$B$13/12))))/'Stressed case'!$B$5</f>
        <v>0</v>
      </c>
      <c r="D107" s="11" t="n">
        <f aca="false">MAX(0,((D106*'Stressed case'!$B$5)-('Stressed case'!$B$5/'Stressed case'!$B$7*(D49-D50)*IF(AND($A107&gt;='Stressed case'!$B$17,$A107&lt;'Stressed case'!$B$17+'Stressed case'!$B$16),1-'Stressed case'!$B$15,1)-'Stressed case'!$B$14*'Stressed case'!$B$5/'Stressed case'!$B$7*(D49-D50))-(MAX(0,'Stressed case'!$B$5/'Stressed case'!$B$7*D49*('Stressed case'!$B$11-'Stressed case'!$B$12)/12-(D106*'Stressed case'!$B$5)*'Stressed case'!$B$13/12))))/'Stressed case'!$B$5</f>
        <v>0</v>
      </c>
      <c r="E107" s="11" t="n">
        <f aca="false">MAX(0,((E106*'Stressed case'!$B$5)-('Stressed case'!$B$5/'Stressed case'!$B$7*(E49-E50)*IF(AND($A107&gt;='Stressed case'!$B$17,$A107&lt;'Stressed case'!$B$17+'Stressed case'!$B$16),1-'Stressed case'!$B$15,1)-'Stressed case'!$B$14*'Stressed case'!$B$5/'Stressed case'!$B$7*(E49-E50))-(MAX(0,'Stressed case'!$B$5/'Stressed case'!$B$7*E49*('Stressed case'!$B$11-'Stressed case'!$B$12)/12-(E106*'Stressed case'!$B$5)*'Stressed case'!$B$13/12))))/'Stressed case'!$B$5</f>
        <v>0</v>
      </c>
      <c r="F107" s="11" t="n">
        <f aca="false">MAX(0,((F106*'Stressed case'!$B$5)-('Stressed case'!$B$5/'Stressed case'!$B$7*(F49-F50)*IF(AND($A107&gt;='Stressed case'!$B$17,$A107&lt;'Stressed case'!$B$17+'Stressed case'!$B$16),1-'Stressed case'!$B$15,1)-'Stressed case'!$B$14*'Stressed case'!$B$5/'Stressed case'!$B$7*(F49-F50))-(MAX(0,'Stressed case'!$B$5/'Stressed case'!$B$7*F49*('Stressed case'!$B$11-'Stressed case'!$B$12)/12-(F106*'Stressed case'!$B$5)*'Stressed case'!$B$13/12))))/'Stressed case'!$B$5</f>
        <v>0.14250225624599</v>
      </c>
    </row>
    <row r="108" customFormat="false" ht="15" hidden="false" customHeight="false" outlineLevel="0" collapsed="false">
      <c r="A108" s="45" t="n">
        <v>38</v>
      </c>
      <c r="B108" s="56" t="n">
        <f aca="false">MAX(0,((B107*'Stressed case'!$B$5)-('Stressed case'!$B$5/'Stressed case'!$B$7*(B50-B51)*IF(AND($A108&gt;='Stressed case'!$B$17,$A108&lt;'Stressed case'!$B$17+'Stressed case'!$B$16),1-'Stressed case'!$B$15,1)-'Stressed case'!$B$14*'Stressed case'!$B$5/'Stressed case'!$B$7*(B50-B51))-(MAX(0,'Stressed case'!$B$5/'Stressed case'!$B$7*B50*('Stressed case'!$B$11-'Stressed case'!$B$12)/12-(B107*'Stressed case'!$B$5)*'Stressed case'!$B$13/12))))/'Stressed case'!$B$5</f>
        <v>0</v>
      </c>
      <c r="C108" s="56" t="n">
        <f aca="false">MAX(0,((C107*'Stressed case'!$B$5)-('Stressed case'!$B$5/'Stressed case'!$B$7*(C50-C51)*IF(AND($A108&gt;='Stressed case'!$B$17,$A108&lt;'Stressed case'!$B$17+'Stressed case'!$B$16),1-'Stressed case'!$B$15,1)-'Stressed case'!$B$14*'Stressed case'!$B$5/'Stressed case'!$B$7*(C50-C51))-(MAX(0,'Stressed case'!$B$5/'Stressed case'!$B$7*C50*('Stressed case'!$B$11-'Stressed case'!$B$12)/12-(C107*'Stressed case'!$B$5)*'Stressed case'!$B$13/12))))/'Stressed case'!$B$5</f>
        <v>0</v>
      </c>
      <c r="D108" s="56" t="n">
        <f aca="false">MAX(0,((D107*'Stressed case'!$B$5)-('Stressed case'!$B$5/'Stressed case'!$B$7*(D50-D51)*IF(AND($A108&gt;='Stressed case'!$B$17,$A108&lt;'Stressed case'!$B$17+'Stressed case'!$B$16),1-'Stressed case'!$B$15,1)-'Stressed case'!$B$14*'Stressed case'!$B$5/'Stressed case'!$B$7*(D50-D51))-(MAX(0,'Stressed case'!$B$5/'Stressed case'!$B$7*D50*('Stressed case'!$B$11-'Stressed case'!$B$12)/12-(D107*'Stressed case'!$B$5)*'Stressed case'!$B$13/12))))/'Stressed case'!$B$5</f>
        <v>0</v>
      </c>
      <c r="E108" s="56" t="n">
        <f aca="false">MAX(0,((E107*'Stressed case'!$B$5)-('Stressed case'!$B$5/'Stressed case'!$B$7*(E50-E51)*IF(AND($A108&gt;='Stressed case'!$B$17,$A108&lt;'Stressed case'!$B$17+'Stressed case'!$B$16),1-'Stressed case'!$B$15,1)-'Stressed case'!$B$14*'Stressed case'!$B$5/'Stressed case'!$B$7*(E50-E51))-(MAX(0,'Stressed case'!$B$5/'Stressed case'!$B$7*E50*('Stressed case'!$B$11-'Stressed case'!$B$12)/12-(E107*'Stressed case'!$B$5)*'Stressed case'!$B$13/12))))/'Stressed case'!$B$5</f>
        <v>0</v>
      </c>
      <c r="F108" s="56" t="n">
        <f aca="false">MAX(0,((F107*'Stressed case'!$B$5)-('Stressed case'!$B$5/'Stressed case'!$B$7*(F50-F51)*IF(AND($A108&gt;='Stressed case'!$B$17,$A108&lt;'Stressed case'!$B$17+'Stressed case'!$B$16),1-'Stressed case'!$B$15,1)-'Stressed case'!$B$14*'Stressed case'!$B$5/'Stressed case'!$B$7*(F50-F51))-(MAX(0,'Stressed case'!$B$5/'Stressed case'!$B$7*F50*('Stressed case'!$B$11-'Stressed case'!$B$12)/12-(F107*'Stressed case'!$B$5)*'Stressed case'!$B$13/12))))/'Stressed case'!$B$5</f>
        <v>0.115764745136854</v>
      </c>
    </row>
    <row r="109" customFormat="false" ht="15" hidden="false" customHeight="false" outlineLevel="0" collapsed="false">
      <c r="A109" s="30" t="n">
        <v>39</v>
      </c>
      <c r="B109" s="11" t="n">
        <f aca="false">MAX(0,((B108*'Stressed case'!$B$5)-('Stressed case'!$B$5/'Stressed case'!$B$7*(B51-B52)*IF(AND($A109&gt;='Stressed case'!$B$17,$A109&lt;'Stressed case'!$B$17+'Stressed case'!$B$16),1-'Stressed case'!$B$15,1)-'Stressed case'!$B$14*'Stressed case'!$B$5/'Stressed case'!$B$7*(B51-B52))-(MAX(0,'Stressed case'!$B$5/'Stressed case'!$B$7*B51*('Stressed case'!$B$11-'Stressed case'!$B$12)/12-(B108*'Stressed case'!$B$5)*'Stressed case'!$B$13/12))))/'Stressed case'!$B$5</f>
        <v>0</v>
      </c>
      <c r="C109" s="11" t="n">
        <f aca="false">MAX(0,((C108*'Stressed case'!$B$5)-('Stressed case'!$B$5/'Stressed case'!$B$7*(C51-C52)*IF(AND($A109&gt;='Stressed case'!$B$17,$A109&lt;'Stressed case'!$B$17+'Stressed case'!$B$16),1-'Stressed case'!$B$15,1)-'Stressed case'!$B$14*'Stressed case'!$B$5/'Stressed case'!$B$7*(C51-C52))-(MAX(0,'Stressed case'!$B$5/'Stressed case'!$B$7*C51*('Stressed case'!$B$11-'Stressed case'!$B$12)/12-(C108*'Stressed case'!$B$5)*'Stressed case'!$B$13/12))))/'Stressed case'!$B$5</f>
        <v>0</v>
      </c>
      <c r="D109" s="11" t="n">
        <f aca="false">MAX(0,((D108*'Stressed case'!$B$5)-('Stressed case'!$B$5/'Stressed case'!$B$7*(D51-D52)*IF(AND($A109&gt;='Stressed case'!$B$17,$A109&lt;'Stressed case'!$B$17+'Stressed case'!$B$16),1-'Stressed case'!$B$15,1)-'Stressed case'!$B$14*'Stressed case'!$B$5/'Stressed case'!$B$7*(D51-D52))-(MAX(0,'Stressed case'!$B$5/'Stressed case'!$B$7*D51*('Stressed case'!$B$11-'Stressed case'!$B$12)/12-(D108*'Stressed case'!$B$5)*'Stressed case'!$B$13/12))))/'Stressed case'!$B$5</f>
        <v>0</v>
      </c>
      <c r="E109" s="11" t="n">
        <f aca="false">MAX(0,((E108*'Stressed case'!$B$5)-('Stressed case'!$B$5/'Stressed case'!$B$7*(E51-E52)*IF(AND($A109&gt;='Stressed case'!$B$17,$A109&lt;'Stressed case'!$B$17+'Stressed case'!$B$16),1-'Stressed case'!$B$15,1)-'Stressed case'!$B$14*'Stressed case'!$B$5/'Stressed case'!$B$7*(E51-E52))-(MAX(0,'Stressed case'!$B$5/'Stressed case'!$B$7*E51*('Stressed case'!$B$11-'Stressed case'!$B$12)/12-(E108*'Stressed case'!$B$5)*'Stressed case'!$B$13/12))))/'Stressed case'!$B$5</f>
        <v>0</v>
      </c>
      <c r="F109" s="11" t="n">
        <f aca="false">MAX(0,((F108*'Stressed case'!$B$5)-('Stressed case'!$B$5/'Stressed case'!$B$7*(F51-F52)*IF(AND($A109&gt;='Stressed case'!$B$17,$A109&lt;'Stressed case'!$B$17+'Stressed case'!$B$16),1-'Stressed case'!$B$15,1)-'Stressed case'!$B$14*'Stressed case'!$B$5/'Stressed case'!$B$7*(F51-F52))-(MAX(0,'Stressed case'!$B$5/'Stressed case'!$B$7*F51*('Stressed case'!$B$11-'Stressed case'!$B$12)/12-(F108*'Stressed case'!$B$5)*'Stressed case'!$B$13/12))))/'Stressed case'!$B$5</f>
        <v>0.0888276065475381</v>
      </c>
    </row>
    <row r="110" customFormat="false" ht="15" hidden="false" customHeight="false" outlineLevel="0" collapsed="false">
      <c r="A110" s="45" t="n">
        <v>40</v>
      </c>
      <c r="B110" s="56" t="n">
        <f aca="false">MAX(0,((B109*'Stressed case'!$B$5)-('Stressed case'!$B$5/'Stressed case'!$B$7*(B52-B53)*IF(AND($A110&gt;='Stressed case'!$B$17,$A110&lt;'Stressed case'!$B$17+'Stressed case'!$B$16),1-'Stressed case'!$B$15,1)-'Stressed case'!$B$14*'Stressed case'!$B$5/'Stressed case'!$B$7*(B52-B53))-(MAX(0,'Stressed case'!$B$5/'Stressed case'!$B$7*B52*('Stressed case'!$B$11-'Stressed case'!$B$12)/12-(B109*'Stressed case'!$B$5)*'Stressed case'!$B$13/12))))/'Stressed case'!$B$5</f>
        <v>0</v>
      </c>
      <c r="C110" s="56" t="n">
        <f aca="false">MAX(0,((C109*'Stressed case'!$B$5)-('Stressed case'!$B$5/'Stressed case'!$B$7*(C52-C53)*IF(AND($A110&gt;='Stressed case'!$B$17,$A110&lt;'Stressed case'!$B$17+'Stressed case'!$B$16),1-'Stressed case'!$B$15,1)-'Stressed case'!$B$14*'Stressed case'!$B$5/'Stressed case'!$B$7*(C52-C53))-(MAX(0,'Stressed case'!$B$5/'Stressed case'!$B$7*C52*('Stressed case'!$B$11-'Stressed case'!$B$12)/12-(C109*'Stressed case'!$B$5)*'Stressed case'!$B$13/12))))/'Stressed case'!$B$5</f>
        <v>0</v>
      </c>
      <c r="D110" s="56" t="n">
        <f aca="false">MAX(0,((D109*'Stressed case'!$B$5)-('Stressed case'!$B$5/'Stressed case'!$B$7*(D52-D53)*IF(AND($A110&gt;='Stressed case'!$B$17,$A110&lt;'Stressed case'!$B$17+'Stressed case'!$B$16),1-'Stressed case'!$B$15,1)-'Stressed case'!$B$14*'Stressed case'!$B$5/'Stressed case'!$B$7*(D52-D53))-(MAX(0,'Stressed case'!$B$5/'Stressed case'!$B$7*D52*('Stressed case'!$B$11-'Stressed case'!$B$12)/12-(D109*'Stressed case'!$B$5)*'Stressed case'!$B$13/12))))/'Stressed case'!$B$5</f>
        <v>0</v>
      </c>
      <c r="E110" s="56" t="n">
        <f aca="false">MAX(0,((E109*'Stressed case'!$B$5)-('Stressed case'!$B$5/'Stressed case'!$B$7*(E52-E53)*IF(AND($A110&gt;='Stressed case'!$B$17,$A110&lt;'Stressed case'!$B$17+'Stressed case'!$B$16),1-'Stressed case'!$B$15,1)-'Stressed case'!$B$14*'Stressed case'!$B$5/'Stressed case'!$B$7*(E52-E53))-(MAX(0,'Stressed case'!$B$5/'Stressed case'!$B$7*E52*('Stressed case'!$B$11-'Stressed case'!$B$12)/12-(E109*'Stressed case'!$B$5)*'Stressed case'!$B$13/12))))/'Stressed case'!$B$5</f>
        <v>0</v>
      </c>
      <c r="F110" s="56" t="n">
        <f aca="false">MAX(0,((F109*'Stressed case'!$B$5)-('Stressed case'!$B$5/'Stressed case'!$B$7*(F52-F53)*IF(AND($A110&gt;='Stressed case'!$B$17,$A110&lt;'Stressed case'!$B$17+'Stressed case'!$B$16),1-'Stressed case'!$B$15,1)-'Stressed case'!$B$14*'Stressed case'!$B$5/'Stressed case'!$B$7*(F52-F53))-(MAX(0,'Stressed case'!$B$5/'Stressed case'!$B$7*F52*('Stressed case'!$B$11-'Stressed case'!$B$12)/12-(F109*'Stressed case'!$B$5)*'Stressed case'!$B$13/12))))/'Stressed case'!$B$5</f>
        <v>0.0616893234192529</v>
      </c>
    </row>
    <row r="111" customFormat="false" ht="15" hidden="false" customHeight="false" outlineLevel="0" collapsed="false">
      <c r="A111" s="30" t="n">
        <v>41</v>
      </c>
      <c r="B111" s="11" t="n">
        <f aca="false">MAX(0,((B110*'Stressed case'!$B$5)-('Stressed case'!$B$5/'Stressed case'!$B$7*(B53-B54)*IF(AND($A111&gt;='Stressed case'!$B$17,$A111&lt;'Stressed case'!$B$17+'Stressed case'!$B$16),1-'Stressed case'!$B$15,1)-'Stressed case'!$B$14*'Stressed case'!$B$5/'Stressed case'!$B$7*(B53-B54))-(MAX(0,'Stressed case'!$B$5/'Stressed case'!$B$7*B53*('Stressed case'!$B$11-'Stressed case'!$B$12)/12-(B110*'Stressed case'!$B$5)*'Stressed case'!$B$13/12))))/'Stressed case'!$B$5</f>
        <v>0</v>
      </c>
      <c r="C111" s="11" t="n">
        <f aca="false">MAX(0,((C110*'Stressed case'!$B$5)-('Stressed case'!$B$5/'Stressed case'!$B$7*(C53-C54)*IF(AND($A111&gt;='Stressed case'!$B$17,$A111&lt;'Stressed case'!$B$17+'Stressed case'!$B$16),1-'Stressed case'!$B$15,1)-'Stressed case'!$B$14*'Stressed case'!$B$5/'Stressed case'!$B$7*(C53-C54))-(MAX(0,'Stressed case'!$B$5/'Stressed case'!$B$7*C53*('Stressed case'!$B$11-'Stressed case'!$B$12)/12-(C110*'Stressed case'!$B$5)*'Stressed case'!$B$13/12))))/'Stressed case'!$B$5</f>
        <v>0</v>
      </c>
      <c r="D111" s="11" t="n">
        <f aca="false">MAX(0,((D110*'Stressed case'!$B$5)-('Stressed case'!$B$5/'Stressed case'!$B$7*(D53-D54)*IF(AND($A111&gt;='Stressed case'!$B$17,$A111&lt;'Stressed case'!$B$17+'Stressed case'!$B$16),1-'Stressed case'!$B$15,1)-'Stressed case'!$B$14*'Stressed case'!$B$5/'Stressed case'!$B$7*(D53-D54))-(MAX(0,'Stressed case'!$B$5/'Stressed case'!$B$7*D53*('Stressed case'!$B$11-'Stressed case'!$B$12)/12-(D110*'Stressed case'!$B$5)*'Stressed case'!$B$13/12))))/'Stressed case'!$B$5</f>
        <v>0</v>
      </c>
      <c r="E111" s="11" t="n">
        <f aca="false">MAX(0,((E110*'Stressed case'!$B$5)-('Stressed case'!$B$5/'Stressed case'!$B$7*(E53-E54)*IF(AND($A111&gt;='Stressed case'!$B$17,$A111&lt;'Stressed case'!$B$17+'Stressed case'!$B$16),1-'Stressed case'!$B$15,1)-'Stressed case'!$B$14*'Stressed case'!$B$5/'Stressed case'!$B$7*(E53-E54))-(MAX(0,'Stressed case'!$B$5/'Stressed case'!$B$7*E53*('Stressed case'!$B$11-'Stressed case'!$B$12)/12-(E110*'Stressed case'!$B$5)*'Stressed case'!$B$13/12))))/'Stressed case'!$B$5</f>
        <v>0</v>
      </c>
      <c r="F111" s="11" t="n">
        <f aca="false">MAX(0,((F110*'Stressed case'!$B$5)-('Stressed case'!$B$5/'Stressed case'!$B$7*(F53-F54)*IF(AND($A111&gt;='Stressed case'!$B$17,$A111&lt;'Stressed case'!$B$17+'Stressed case'!$B$16),1-'Stressed case'!$B$15,1)-'Stressed case'!$B$14*'Stressed case'!$B$5/'Stressed case'!$B$7*(F53-F54))-(MAX(0,'Stressed case'!$B$5/'Stressed case'!$B$7*F53*('Stressed case'!$B$11-'Stressed case'!$B$12)/12-(F110*'Stressed case'!$B$5)*'Stressed case'!$B$13/12))))/'Stressed case'!$B$5</f>
        <v>0.0343483668223406</v>
      </c>
    </row>
    <row r="112" customFormat="false" ht="15" hidden="false" customHeight="false" outlineLevel="0" collapsed="false">
      <c r="A112" s="45" t="n">
        <v>42</v>
      </c>
      <c r="B112" s="56" t="n">
        <f aca="false">MAX(0,((B111*'Stressed case'!$B$5)-('Stressed case'!$B$5/'Stressed case'!$B$7*(B54-B55)*IF(AND($A112&gt;='Stressed case'!$B$17,$A112&lt;'Stressed case'!$B$17+'Stressed case'!$B$16),1-'Stressed case'!$B$15,1)-'Stressed case'!$B$14*'Stressed case'!$B$5/'Stressed case'!$B$7*(B54-B55))-(MAX(0,'Stressed case'!$B$5/'Stressed case'!$B$7*B54*('Stressed case'!$B$11-'Stressed case'!$B$12)/12-(B111*'Stressed case'!$B$5)*'Stressed case'!$B$13/12))))/'Stressed case'!$B$5</f>
        <v>0</v>
      </c>
      <c r="C112" s="56" t="n">
        <f aca="false">MAX(0,((C111*'Stressed case'!$B$5)-('Stressed case'!$B$5/'Stressed case'!$B$7*(C54-C55)*IF(AND($A112&gt;='Stressed case'!$B$17,$A112&lt;'Stressed case'!$B$17+'Stressed case'!$B$16),1-'Stressed case'!$B$15,1)-'Stressed case'!$B$14*'Stressed case'!$B$5/'Stressed case'!$B$7*(C54-C55))-(MAX(0,'Stressed case'!$B$5/'Stressed case'!$B$7*C54*('Stressed case'!$B$11-'Stressed case'!$B$12)/12-(C111*'Stressed case'!$B$5)*'Stressed case'!$B$13/12))))/'Stressed case'!$B$5</f>
        <v>0</v>
      </c>
      <c r="D112" s="56" t="n">
        <f aca="false">MAX(0,((D111*'Stressed case'!$B$5)-('Stressed case'!$B$5/'Stressed case'!$B$7*(D54-D55)*IF(AND($A112&gt;='Stressed case'!$B$17,$A112&lt;'Stressed case'!$B$17+'Stressed case'!$B$16),1-'Stressed case'!$B$15,1)-'Stressed case'!$B$14*'Stressed case'!$B$5/'Stressed case'!$B$7*(D54-D55))-(MAX(0,'Stressed case'!$B$5/'Stressed case'!$B$7*D54*('Stressed case'!$B$11-'Stressed case'!$B$12)/12-(D111*'Stressed case'!$B$5)*'Stressed case'!$B$13/12))))/'Stressed case'!$B$5</f>
        <v>0</v>
      </c>
      <c r="E112" s="56" t="n">
        <f aca="false">MAX(0,((E111*'Stressed case'!$B$5)-('Stressed case'!$B$5/'Stressed case'!$B$7*(E54-E55)*IF(AND($A112&gt;='Stressed case'!$B$17,$A112&lt;'Stressed case'!$B$17+'Stressed case'!$B$16),1-'Stressed case'!$B$15,1)-'Stressed case'!$B$14*'Stressed case'!$B$5/'Stressed case'!$B$7*(E54-E55))-(MAX(0,'Stressed case'!$B$5/'Stressed case'!$B$7*E54*('Stressed case'!$B$11-'Stressed case'!$B$12)/12-(E111*'Stressed case'!$B$5)*'Stressed case'!$B$13/12))))/'Stressed case'!$B$5</f>
        <v>0</v>
      </c>
      <c r="F112" s="56" t="n">
        <f aca="false">MAX(0,((F111*'Stressed case'!$B$5)-('Stressed case'!$B$5/'Stressed case'!$B$7*(F54-F55)*IF(AND($A112&gt;='Stressed case'!$B$17,$A112&lt;'Stressed case'!$B$17+'Stressed case'!$B$16),1-'Stressed case'!$B$15,1)-'Stressed case'!$B$14*'Stressed case'!$B$5/'Stressed case'!$B$7*(F54-F55))-(MAX(0,'Stressed case'!$B$5/'Stressed case'!$B$7*F54*('Stressed case'!$B$11-'Stressed case'!$B$12)/12-(F111*'Stressed case'!$B$5)*'Stressed case'!$B$13/12))))/'Stressed case'!$B$5</f>
        <v>0.00680319585906244</v>
      </c>
    </row>
    <row r="113" customFormat="false" ht="15" hidden="false" customHeight="false" outlineLevel="0" collapsed="false">
      <c r="A113" s="30" t="n">
        <v>43</v>
      </c>
      <c r="B113" s="11" t="n">
        <f aca="false">MAX(0,((B112*'Stressed case'!$B$5)-('Stressed case'!$B$5/'Stressed case'!$B$7*(B55-B56)*IF(AND($A113&gt;='Stressed case'!$B$17,$A113&lt;'Stressed case'!$B$17+'Stressed case'!$B$16),1-'Stressed case'!$B$15,1)-'Stressed case'!$B$14*'Stressed case'!$B$5/'Stressed case'!$B$7*(B55-B56))-(MAX(0,'Stressed case'!$B$5/'Stressed case'!$B$7*B55*('Stressed case'!$B$11-'Stressed case'!$B$12)/12-(B112*'Stressed case'!$B$5)*'Stressed case'!$B$13/12))))/'Stressed case'!$B$5</f>
        <v>0</v>
      </c>
      <c r="C113" s="11" t="n">
        <f aca="false">MAX(0,((C112*'Stressed case'!$B$5)-('Stressed case'!$B$5/'Stressed case'!$B$7*(C55-C56)*IF(AND($A113&gt;='Stressed case'!$B$17,$A113&lt;'Stressed case'!$B$17+'Stressed case'!$B$16),1-'Stressed case'!$B$15,1)-'Stressed case'!$B$14*'Stressed case'!$B$5/'Stressed case'!$B$7*(C55-C56))-(MAX(0,'Stressed case'!$B$5/'Stressed case'!$B$7*C55*('Stressed case'!$B$11-'Stressed case'!$B$12)/12-(C112*'Stressed case'!$B$5)*'Stressed case'!$B$13/12))))/'Stressed case'!$B$5</f>
        <v>0</v>
      </c>
      <c r="D113" s="11" t="n">
        <f aca="false">MAX(0,((D112*'Stressed case'!$B$5)-('Stressed case'!$B$5/'Stressed case'!$B$7*(D55-D56)*IF(AND($A113&gt;='Stressed case'!$B$17,$A113&lt;'Stressed case'!$B$17+'Stressed case'!$B$16),1-'Stressed case'!$B$15,1)-'Stressed case'!$B$14*'Stressed case'!$B$5/'Stressed case'!$B$7*(D55-D56))-(MAX(0,'Stressed case'!$B$5/'Stressed case'!$B$7*D55*('Stressed case'!$B$11-'Stressed case'!$B$12)/12-(D112*'Stressed case'!$B$5)*'Stressed case'!$B$13/12))))/'Stressed case'!$B$5</f>
        <v>0</v>
      </c>
      <c r="E113" s="11" t="n">
        <f aca="false">MAX(0,((E112*'Stressed case'!$B$5)-('Stressed case'!$B$5/'Stressed case'!$B$7*(E55-E56)*IF(AND($A113&gt;='Stressed case'!$B$17,$A113&lt;'Stressed case'!$B$17+'Stressed case'!$B$16),1-'Stressed case'!$B$15,1)-'Stressed case'!$B$14*'Stressed case'!$B$5/'Stressed case'!$B$7*(E55-E56))-(MAX(0,'Stressed case'!$B$5/'Stressed case'!$B$7*E55*('Stressed case'!$B$11-'Stressed case'!$B$12)/12-(E112*'Stressed case'!$B$5)*'Stressed case'!$B$13/12))))/'Stressed case'!$B$5</f>
        <v>0</v>
      </c>
      <c r="F113" s="11" t="n">
        <f aca="false">MAX(0,((F112*'Stressed case'!$B$5)-('Stressed case'!$B$5/'Stressed case'!$B$7*(F55-F56)*IF(AND($A113&gt;='Stressed case'!$B$17,$A113&lt;'Stressed case'!$B$17+'Stressed case'!$B$16),1-'Stressed case'!$B$15,1)-'Stressed case'!$B$14*'Stressed case'!$B$5/'Stressed case'!$B$7*(F55-F56))-(MAX(0,'Stressed case'!$B$5/'Stressed case'!$B$7*F55*('Stressed case'!$B$11-'Stressed case'!$B$12)/12-(F112*'Stressed case'!$B$5)*'Stressed case'!$B$13/12))))/'Stressed case'!$B$5</f>
        <v>0</v>
      </c>
    </row>
    <row r="114" customFormat="false" ht="15" hidden="false" customHeight="false" outlineLevel="0" collapsed="false">
      <c r="A114" s="45" t="n">
        <v>44</v>
      </c>
      <c r="B114" s="56" t="n">
        <f aca="false">MAX(0,((B113*'Stressed case'!$B$5)-('Stressed case'!$B$5/'Stressed case'!$B$7*(B56-B57)*IF(AND($A114&gt;='Stressed case'!$B$17,$A114&lt;'Stressed case'!$B$17+'Stressed case'!$B$16),1-'Stressed case'!$B$15,1)-'Stressed case'!$B$14*'Stressed case'!$B$5/'Stressed case'!$B$7*(B56-B57))-(MAX(0,'Stressed case'!$B$5/'Stressed case'!$B$7*B56*('Stressed case'!$B$11-'Stressed case'!$B$12)/12-(B113*'Stressed case'!$B$5)*'Stressed case'!$B$13/12))))/'Stressed case'!$B$5</f>
        <v>0</v>
      </c>
      <c r="C114" s="56" t="n">
        <f aca="false">MAX(0,((C113*'Stressed case'!$B$5)-('Stressed case'!$B$5/'Stressed case'!$B$7*(C56-C57)*IF(AND($A114&gt;='Stressed case'!$B$17,$A114&lt;'Stressed case'!$B$17+'Stressed case'!$B$16),1-'Stressed case'!$B$15,1)-'Stressed case'!$B$14*'Stressed case'!$B$5/'Stressed case'!$B$7*(C56-C57))-(MAX(0,'Stressed case'!$B$5/'Stressed case'!$B$7*C56*('Stressed case'!$B$11-'Stressed case'!$B$12)/12-(C113*'Stressed case'!$B$5)*'Stressed case'!$B$13/12))))/'Stressed case'!$B$5</f>
        <v>0</v>
      </c>
      <c r="D114" s="56" t="n">
        <f aca="false">MAX(0,((D113*'Stressed case'!$B$5)-('Stressed case'!$B$5/'Stressed case'!$B$7*(D56-D57)*IF(AND($A114&gt;='Stressed case'!$B$17,$A114&lt;'Stressed case'!$B$17+'Stressed case'!$B$16),1-'Stressed case'!$B$15,1)-'Stressed case'!$B$14*'Stressed case'!$B$5/'Stressed case'!$B$7*(D56-D57))-(MAX(0,'Stressed case'!$B$5/'Stressed case'!$B$7*D56*('Stressed case'!$B$11-'Stressed case'!$B$12)/12-(D113*'Stressed case'!$B$5)*'Stressed case'!$B$13/12))))/'Stressed case'!$B$5</f>
        <v>0</v>
      </c>
      <c r="E114" s="56" t="n">
        <f aca="false">MAX(0,((E113*'Stressed case'!$B$5)-('Stressed case'!$B$5/'Stressed case'!$B$7*(E56-E57)*IF(AND($A114&gt;='Stressed case'!$B$17,$A114&lt;'Stressed case'!$B$17+'Stressed case'!$B$16),1-'Stressed case'!$B$15,1)-'Stressed case'!$B$14*'Stressed case'!$B$5/'Stressed case'!$B$7*(E56-E57))-(MAX(0,'Stressed case'!$B$5/'Stressed case'!$B$7*E56*('Stressed case'!$B$11-'Stressed case'!$B$12)/12-(E113*'Stressed case'!$B$5)*'Stressed case'!$B$13/12))))/'Stressed case'!$B$5</f>
        <v>0</v>
      </c>
      <c r="F114" s="56" t="n">
        <f aca="false">MAX(0,((F113*'Stressed case'!$B$5)-('Stressed case'!$B$5/'Stressed case'!$B$7*(F56-F57)*IF(AND($A114&gt;='Stressed case'!$B$17,$A114&lt;'Stressed case'!$B$17+'Stressed case'!$B$16),1-'Stressed case'!$B$15,1)-'Stressed case'!$B$14*'Stressed case'!$B$5/'Stressed case'!$B$7*(F56-F57))-(MAX(0,'Stressed case'!$B$5/'Stressed case'!$B$7*F56*('Stressed case'!$B$11-'Stressed case'!$B$12)/12-(F113*'Stressed case'!$B$5)*'Stressed case'!$B$13/12))))/'Stressed case'!$B$5</f>
        <v>0</v>
      </c>
    </row>
    <row r="115" customFormat="false" ht="15" hidden="false" customHeight="false" outlineLevel="0" collapsed="false">
      <c r="A115" s="30" t="n">
        <v>45</v>
      </c>
      <c r="B115" s="11" t="n">
        <f aca="false">MAX(0,((B114*'Stressed case'!$B$5)-('Stressed case'!$B$5/'Stressed case'!$B$7*(B57-B58)*IF(AND($A115&gt;='Stressed case'!$B$17,$A115&lt;'Stressed case'!$B$17+'Stressed case'!$B$16),1-'Stressed case'!$B$15,1)-'Stressed case'!$B$14*'Stressed case'!$B$5/'Stressed case'!$B$7*(B57-B58))-(MAX(0,'Stressed case'!$B$5/'Stressed case'!$B$7*B57*('Stressed case'!$B$11-'Stressed case'!$B$12)/12-(B114*'Stressed case'!$B$5)*'Stressed case'!$B$13/12))))/'Stressed case'!$B$5</f>
        <v>0</v>
      </c>
      <c r="C115" s="11" t="n">
        <f aca="false">MAX(0,((C114*'Stressed case'!$B$5)-('Stressed case'!$B$5/'Stressed case'!$B$7*(C57-C58)*IF(AND($A115&gt;='Stressed case'!$B$17,$A115&lt;'Stressed case'!$B$17+'Stressed case'!$B$16),1-'Stressed case'!$B$15,1)-'Stressed case'!$B$14*'Stressed case'!$B$5/'Stressed case'!$B$7*(C57-C58))-(MAX(0,'Stressed case'!$B$5/'Stressed case'!$B$7*C57*('Stressed case'!$B$11-'Stressed case'!$B$12)/12-(C114*'Stressed case'!$B$5)*'Stressed case'!$B$13/12))))/'Stressed case'!$B$5</f>
        <v>0</v>
      </c>
      <c r="D115" s="11" t="n">
        <f aca="false">MAX(0,((D114*'Stressed case'!$B$5)-('Stressed case'!$B$5/'Stressed case'!$B$7*(D57-D58)*IF(AND($A115&gt;='Stressed case'!$B$17,$A115&lt;'Stressed case'!$B$17+'Stressed case'!$B$16),1-'Stressed case'!$B$15,1)-'Stressed case'!$B$14*'Stressed case'!$B$5/'Stressed case'!$B$7*(D57-D58))-(MAX(0,'Stressed case'!$B$5/'Stressed case'!$B$7*D57*('Stressed case'!$B$11-'Stressed case'!$B$12)/12-(D114*'Stressed case'!$B$5)*'Stressed case'!$B$13/12))))/'Stressed case'!$B$5</f>
        <v>0</v>
      </c>
      <c r="E115" s="11" t="n">
        <f aca="false">MAX(0,((E114*'Stressed case'!$B$5)-('Stressed case'!$B$5/'Stressed case'!$B$7*(E57-E58)*IF(AND($A115&gt;='Stressed case'!$B$17,$A115&lt;'Stressed case'!$B$17+'Stressed case'!$B$16),1-'Stressed case'!$B$15,1)-'Stressed case'!$B$14*'Stressed case'!$B$5/'Stressed case'!$B$7*(E57-E58))-(MAX(0,'Stressed case'!$B$5/'Stressed case'!$B$7*E57*('Stressed case'!$B$11-'Stressed case'!$B$12)/12-(E114*'Stressed case'!$B$5)*'Stressed case'!$B$13/12))))/'Stressed case'!$B$5</f>
        <v>0</v>
      </c>
      <c r="F115" s="11" t="n">
        <f aca="false">MAX(0,((F114*'Stressed case'!$B$5)-('Stressed case'!$B$5/'Stressed case'!$B$7*(F57-F58)*IF(AND($A115&gt;='Stressed case'!$B$17,$A115&lt;'Stressed case'!$B$17+'Stressed case'!$B$16),1-'Stressed case'!$B$15,1)-'Stressed case'!$B$14*'Stressed case'!$B$5/'Stressed case'!$B$7*(F57-F58))-(MAX(0,'Stressed case'!$B$5/'Stressed case'!$B$7*F57*('Stressed case'!$B$11-'Stressed case'!$B$12)/12-(F114*'Stressed case'!$B$5)*'Stressed case'!$B$13/12))))/'Stressed case'!$B$5</f>
        <v>0</v>
      </c>
    </row>
    <row r="116" customFormat="false" ht="15" hidden="false" customHeight="false" outlineLevel="0" collapsed="false">
      <c r="A116" s="45" t="n">
        <v>46</v>
      </c>
      <c r="B116" s="56" t="n">
        <f aca="false">MAX(0,((B115*'Stressed case'!$B$5)-('Stressed case'!$B$5/'Stressed case'!$B$7*(B58-B59)*IF(AND($A116&gt;='Stressed case'!$B$17,$A116&lt;'Stressed case'!$B$17+'Stressed case'!$B$16),1-'Stressed case'!$B$15,1)-'Stressed case'!$B$14*'Stressed case'!$B$5/'Stressed case'!$B$7*(B58-B59))-(MAX(0,'Stressed case'!$B$5/'Stressed case'!$B$7*B58*('Stressed case'!$B$11-'Stressed case'!$B$12)/12-(B115*'Stressed case'!$B$5)*'Stressed case'!$B$13/12))))/'Stressed case'!$B$5</f>
        <v>0</v>
      </c>
      <c r="C116" s="56" t="n">
        <f aca="false">MAX(0,((C115*'Stressed case'!$B$5)-('Stressed case'!$B$5/'Stressed case'!$B$7*(C58-C59)*IF(AND($A116&gt;='Stressed case'!$B$17,$A116&lt;'Stressed case'!$B$17+'Stressed case'!$B$16),1-'Stressed case'!$B$15,1)-'Stressed case'!$B$14*'Stressed case'!$B$5/'Stressed case'!$B$7*(C58-C59))-(MAX(0,'Stressed case'!$B$5/'Stressed case'!$B$7*C58*('Stressed case'!$B$11-'Stressed case'!$B$12)/12-(C115*'Stressed case'!$B$5)*'Stressed case'!$B$13/12))))/'Stressed case'!$B$5</f>
        <v>0</v>
      </c>
      <c r="D116" s="56" t="n">
        <f aca="false">MAX(0,((D115*'Stressed case'!$B$5)-('Stressed case'!$B$5/'Stressed case'!$B$7*(D58-D59)*IF(AND($A116&gt;='Stressed case'!$B$17,$A116&lt;'Stressed case'!$B$17+'Stressed case'!$B$16),1-'Stressed case'!$B$15,1)-'Stressed case'!$B$14*'Stressed case'!$B$5/'Stressed case'!$B$7*(D58-D59))-(MAX(0,'Stressed case'!$B$5/'Stressed case'!$B$7*D58*('Stressed case'!$B$11-'Stressed case'!$B$12)/12-(D115*'Stressed case'!$B$5)*'Stressed case'!$B$13/12))))/'Stressed case'!$B$5</f>
        <v>0</v>
      </c>
      <c r="E116" s="56" t="n">
        <f aca="false">MAX(0,((E115*'Stressed case'!$B$5)-('Stressed case'!$B$5/'Stressed case'!$B$7*(E58-E59)*IF(AND($A116&gt;='Stressed case'!$B$17,$A116&lt;'Stressed case'!$B$17+'Stressed case'!$B$16),1-'Stressed case'!$B$15,1)-'Stressed case'!$B$14*'Stressed case'!$B$5/'Stressed case'!$B$7*(E58-E59))-(MAX(0,'Stressed case'!$B$5/'Stressed case'!$B$7*E58*('Stressed case'!$B$11-'Stressed case'!$B$12)/12-(E115*'Stressed case'!$B$5)*'Stressed case'!$B$13/12))))/'Stressed case'!$B$5</f>
        <v>0</v>
      </c>
      <c r="F116" s="56" t="n">
        <f aca="false">MAX(0,((F115*'Stressed case'!$B$5)-('Stressed case'!$B$5/'Stressed case'!$B$7*(F58-F59)*IF(AND($A116&gt;='Stressed case'!$B$17,$A116&lt;'Stressed case'!$B$17+'Stressed case'!$B$16),1-'Stressed case'!$B$15,1)-'Stressed case'!$B$14*'Stressed case'!$B$5/'Stressed case'!$B$7*(F58-F59))-(MAX(0,'Stressed case'!$B$5/'Stressed case'!$B$7*F58*('Stressed case'!$B$11-'Stressed case'!$B$12)/12-(F115*'Stressed case'!$B$5)*'Stressed case'!$B$13/12))))/'Stressed case'!$B$5</f>
        <v>0</v>
      </c>
    </row>
    <row r="117" customFormat="false" ht="15" hidden="false" customHeight="false" outlineLevel="0" collapsed="false">
      <c r="A117" s="30" t="n">
        <v>47</v>
      </c>
      <c r="B117" s="11" t="n">
        <f aca="false">MAX(0,((B116*'Stressed case'!$B$5)-('Stressed case'!$B$5/'Stressed case'!$B$7*(B59-B60)*IF(AND($A117&gt;='Stressed case'!$B$17,$A117&lt;'Stressed case'!$B$17+'Stressed case'!$B$16),1-'Stressed case'!$B$15,1)-'Stressed case'!$B$14*'Stressed case'!$B$5/'Stressed case'!$B$7*(B59-B60))-(MAX(0,'Stressed case'!$B$5/'Stressed case'!$B$7*B59*('Stressed case'!$B$11-'Stressed case'!$B$12)/12-(B116*'Stressed case'!$B$5)*'Stressed case'!$B$13/12))))/'Stressed case'!$B$5</f>
        <v>0</v>
      </c>
      <c r="C117" s="11" t="n">
        <f aca="false">MAX(0,((C116*'Stressed case'!$B$5)-('Stressed case'!$B$5/'Stressed case'!$B$7*(C59-C60)*IF(AND($A117&gt;='Stressed case'!$B$17,$A117&lt;'Stressed case'!$B$17+'Stressed case'!$B$16),1-'Stressed case'!$B$15,1)-'Stressed case'!$B$14*'Stressed case'!$B$5/'Stressed case'!$B$7*(C59-C60))-(MAX(0,'Stressed case'!$B$5/'Stressed case'!$B$7*C59*('Stressed case'!$B$11-'Stressed case'!$B$12)/12-(C116*'Stressed case'!$B$5)*'Stressed case'!$B$13/12))))/'Stressed case'!$B$5</f>
        <v>0</v>
      </c>
      <c r="D117" s="11" t="n">
        <f aca="false">MAX(0,((D116*'Stressed case'!$B$5)-('Stressed case'!$B$5/'Stressed case'!$B$7*(D59-D60)*IF(AND($A117&gt;='Stressed case'!$B$17,$A117&lt;'Stressed case'!$B$17+'Stressed case'!$B$16),1-'Stressed case'!$B$15,1)-'Stressed case'!$B$14*'Stressed case'!$B$5/'Stressed case'!$B$7*(D59-D60))-(MAX(0,'Stressed case'!$B$5/'Stressed case'!$B$7*D59*('Stressed case'!$B$11-'Stressed case'!$B$12)/12-(D116*'Stressed case'!$B$5)*'Stressed case'!$B$13/12))))/'Stressed case'!$B$5</f>
        <v>0</v>
      </c>
      <c r="E117" s="11" t="n">
        <f aca="false">MAX(0,((E116*'Stressed case'!$B$5)-('Stressed case'!$B$5/'Stressed case'!$B$7*(E59-E60)*IF(AND($A117&gt;='Stressed case'!$B$17,$A117&lt;'Stressed case'!$B$17+'Stressed case'!$B$16),1-'Stressed case'!$B$15,1)-'Stressed case'!$B$14*'Stressed case'!$B$5/'Stressed case'!$B$7*(E59-E60))-(MAX(0,'Stressed case'!$B$5/'Stressed case'!$B$7*E59*('Stressed case'!$B$11-'Stressed case'!$B$12)/12-(E116*'Stressed case'!$B$5)*'Stressed case'!$B$13/12))))/'Stressed case'!$B$5</f>
        <v>0</v>
      </c>
      <c r="F117" s="11" t="n">
        <f aca="false">MAX(0,((F116*'Stressed case'!$B$5)-('Stressed case'!$B$5/'Stressed case'!$B$7*(F59-F60)*IF(AND($A117&gt;='Stressed case'!$B$17,$A117&lt;'Stressed case'!$B$17+'Stressed case'!$B$16),1-'Stressed case'!$B$15,1)-'Stressed case'!$B$14*'Stressed case'!$B$5/'Stressed case'!$B$7*(F59-F60))-(MAX(0,'Stressed case'!$B$5/'Stressed case'!$B$7*F59*('Stressed case'!$B$11-'Stressed case'!$B$12)/12-(F116*'Stressed case'!$B$5)*'Stressed case'!$B$13/12))))/'Stressed case'!$B$5</f>
        <v>0</v>
      </c>
    </row>
    <row r="118" customFormat="false" ht="15" hidden="false" customHeight="false" outlineLevel="0" collapsed="false">
      <c r="A118" s="45" t="n">
        <v>48</v>
      </c>
      <c r="B118" s="56" t="n">
        <f aca="false">MAX(0,((B117*'Stressed case'!$B$5)-('Stressed case'!$B$5/'Stressed case'!$B$7*(B60-B61)*IF(AND($A118&gt;='Stressed case'!$B$17,$A118&lt;'Stressed case'!$B$17+'Stressed case'!$B$16),1-'Stressed case'!$B$15,1)-'Stressed case'!$B$14*'Stressed case'!$B$5/'Stressed case'!$B$7*(B60-B61))-(MAX(0,'Stressed case'!$B$5/'Stressed case'!$B$7*B60*('Stressed case'!$B$11-'Stressed case'!$B$12)/12-(B117*'Stressed case'!$B$5)*'Stressed case'!$B$13/12))))/'Stressed case'!$B$5</f>
        <v>0</v>
      </c>
      <c r="C118" s="56" t="n">
        <f aca="false">MAX(0,((C117*'Stressed case'!$B$5)-('Stressed case'!$B$5/'Stressed case'!$B$7*(C60-C61)*IF(AND($A118&gt;='Stressed case'!$B$17,$A118&lt;'Stressed case'!$B$17+'Stressed case'!$B$16),1-'Stressed case'!$B$15,1)-'Stressed case'!$B$14*'Stressed case'!$B$5/'Stressed case'!$B$7*(C60-C61))-(MAX(0,'Stressed case'!$B$5/'Stressed case'!$B$7*C60*('Stressed case'!$B$11-'Stressed case'!$B$12)/12-(C117*'Stressed case'!$B$5)*'Stressed case'!$B$13/12))))/'Stressed case'!$B$5</f>
        <v>0</v>
      </c>
      <c r="D118" s="56" t="n">
        <f aca="false">MAX(0,((D117*'Stressed case'!$B$5)-('Stressed case'!$B$5/'Stressed case'!$B$7*(D60-D61)*IF(AND($A118&gt;='Stressed case'!$B$17,$A118&lt;'Stressed case'!$B$17+'Stressed case'!$B$16),1-'Stressed case'!$B$15,1)-'Stressed case'!$B$14*'Stressed case'!$B$5/'Stressed case'!$B$7*(D60-D61))-(MAX(0,'Stressed case'!$B$5/'Stressed case'!$B$7*D60*('Stressed case'!$B$11-'Stressed case'!$B$12)/12-(D117*'Stressed case'!$B$5)*'Stressed case'!$B$13/12))))/'Stressed case'!$B$5</f>
        <v>0</v>
      </c>
      <c r="E118" s="56" t="n">
        <f aca="false">MAX(0,((E117*'Stressed case'!$B$5)-('Stressed case'!$B$5/'Stressed case'!$B$7*(E60-E61)*IF(AND($A118&gt;='Stressed case'!$B$17,$A118&lt;'Stressed case'!$B$17+'Stressed case'!$B$16),1-'Stressed case'!$B$15,1)-'Stressed case'!$B$14*'Stressed case'!$B$5/'Stressed case'!$B$7*(E60-E61))-(MAX(0,'Stressed case'!$B$5/'Stressed case'!$B$7*E60*('Stressed case'!$B$11-'Stressed case'!$B$12)/12-(E117*'Stressed case'!$B$5)*'Stressed case'!$B$13/12))))/'Stressed case'!$B$5</f>
        <v>0</v>
      </c>
      <c r="F118" s="56" t="n">
        <f aca="false">MAX(0,((F117*'Stressed case'!$B$5)-('Stressed case'!$B$5/'Stressed case'!$B$7*(F60-F61)*IF(AND($A118&gt;='Stressed case'!$B$17,$A118&lt;'Stressed case'!$B$17+'Stressed case'!$B$16),1-'Stressed case'!$B$15,1)-'Stressed case'!$B$14*'Stressed case'!$B$5/'Stressed case'!$B$7*(F60-F61))-(MAX(0,'Stressed case'!$B$5/'Stressed case'!$B$7*F60*('Stressed case'!$B$11-'Stressed case'!$B$12)/12-(F117*'Stressed case'!$B$5)*'Stressed case'!$B$13/12))))/'Stressed case'!$B$5</f>
        <v>0</v>
      </c>
    </row>
    <row r="119" customFormat="false" ht="15" hidden="false" customHeight="false" outlineLevel="0" collapsed="false">
      <c r="A119" s="30" t="n">
        <v>49</v>
      </c>
      <c r="B119" s="11" t="n">
        <f aca="false">MAX(0,((B118*'Stressed case'!$B$5)-('Stressed case'!$B$5/'Stressed case'!$B$7*(B61-B62)*IF(AND($A119&gt;='Stressed case'!$B$17,$A119&lt;'Stressed case'!$B$17+'Stressed case'!$B$16),1-'Stressed case'!$B$15,1)-'Stressed case'!$B$14*'Stressed case'!$B$5/'Stressed case'!$B$7*(B61-B62))-(MAX(0,'Stressed case'!$B$5/'Stressed case'!$B$7*B61*('Stressed case'!$B$11-'Stressed case'!$B$12)/12-(B118*'Stressed case'!$B$5)*'Stressed case'!$B$13/12))))/'Stressed case'!$B$5</f>
        <v>0</v>
      </c>
      <c r="C119" s="11" t="n">
        <f aca="false">MAX(0,((C118*'Stressed case'!$B$5)-('Stressed case'!$B$5/'Stressed case'!$B$7*(C61-C62)*IF(AND($A119&gt;='Stressed case'!$B$17,$A119&lt;'Stressed case'!$B$17+'Stressed case'!$B$16),1-'Stressed case'!$B$15,1)-'Stressed case'!$B$14*'Stressed case'!$B$5/'Stressed case'!$B$7*(C61-C62))-(MAX(0,'Stressed case'!$B$5/'Stressed case'!$B$7*C61*('Stressed case'!$B$11-'Stressed case'!$B$12)/12-(C118*'Stressed case'!$B$5)*'Stressed case'!$B$13/12))))/'Stressed case'!$B$5</f>
        <v>0</v>
      </c>
      <c r="D119" s="11" t="n">
        <f aca="false">MAX(0,((D118*'Stressed case'!$B$5)-('Stressed case'!$B$5/'Stressed case'!$B$7*(D61-D62)*IF(AND($A119&gt;='Stressed case'!$B$17,$A119&lt;'Stressed case'!$B$17+'Stressed case'!$B$16),1-'Stressed case'!$B$15,1)-'Stressed case'!$B$14*'Stressed case'!$B$5/'Stressed case'!$B$7*(D61-D62))-(MAX(0,'Stressed case'!$B$5/'Stressed case'!$B$7*D61*('Stressed case'!$B$11-'Stressed case'!$B$12)/12-(D118*'Stressed case'!$B$5)*'Stressed case'!$B$13/12))))/'Stressed case'!$B$5</f>
        <v>0</v>
      </c>
      <c r="E119" s="11" t="n">
        <f aca="false">MAX(0,((E118*'Stressed case'!$B$5)-('Stressed case'!$B$5/'Stressed case'!$B$7*(E61-E62)*IF(AND($A119&gt;='Stressed case'!$B$17,$A119&lt;'Stressed case'!$B$17+'Stressed case'!$B$16),1-'Stressed case'!$B$15,1)-'Stressed case'!$B$14*'Stressed case'!$B$5/'Stressed case'!$B$7*(E61-E62))-(MAX(0,'Stressed case'!$B$5/'Stressed case'!$B$7*E61*('Stressed case'!$B$11-'Stressed case'!$B$12)/12-(E118*'Stressed case'!$B$5)*'Stressed case'!$B$13/12))))/'Stressed case'!$B$5</f>
        <v>0</v>
      </c>
      <c r="F119" s="11" t="n">
        <f aca="false">MAX(0,((F118*'Stressed case'!$B$5)-('Stressed case'!$B$5/'Stressed case'!$B$7*(F61-F62)*IF(AND($A119&gt;='Stressed case'!$B$17,$A119&lt;'Stressed case'!$B$17+'Stressed case'!$B$16),1-'Stressed case'!$B$15,1)-'Stressed case'!$B$14*'Stressed case'!$B$5/'Stressed case'!$B$7*(F61-F62))-(MAX(0,'Stressed case'!$B$5/'Stressed case'!$B$7*F61*('Stressed case'!$B$11-'Stressed case'!$B$12)/12-(F118*'Stressed case'!$B$5)*'Stressed case'!$B$13/12))))/'Stressed case'!$B$5</f>
        <v>0</v>
      </c>
    </row>
  </sheetData>
  <mergeCells count="1">
    <mergeCell ref="H5:H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2"/>
    <col collapsed="false" customWidth="true" hidden="false" outlineLevel="0" max="8" min="3" style="0" width="14"/>
    <col collapsed="false" customWidth="true" hidden="false" outlineLevel="0" max="9" min="9" style="0" width="3"/>
    <col collapsed="false" customWidth="true" hidden="false" outlineLevel="0" max="10" min="10" style="0" width="70"/>
  </cols>
  <sheetData>
    <row r="1" customFormat="false" ht="17.35" hidden="false" customHeight="false" outlineLevel="0" collapsed="false">
      <c r="A1" s="1" t="s">
        <v>265</v>
      </c>
    </row>
    <row r="2" customFormat="false" ht="15" hidden="false" customHeight="false" outlineLevel="0" collapsed="false">
      <c r="A2" s="58" t="s">
        <v>266</v>
      </c>
    </row>
    <row r="4" customFormat="false" ht="15" hidden="false" customHeight="false" outlineLevel="0" collapsed="false">
      <c r="A4" s="5" t="s">
        <v>267</v>
      </c>
    </row>
    <row r="5" customFormat="false" ht="15" hidden="false" customHeight="true" outlineLevel="0" collapsed="false">
      <c r="A5" s="36" t="s">
        <v>268</v>
      </c>
      <c r="C5" s="59" t="n">
        <f aca="false">Screening!C6</f>
        <v>640</v>
      </c>
      <c r="J5" s="3" t="s">
        <v>269</v>
      </c>
    </row>
    <row r="6" customFormat="false" ht="15" hidden="false" customHeight="false" outlineLevel="0" collapsed="false">
      <c r="A6" s="36" t="s">
        <v>14</v>
      </c>
      <c r="C6" s="59" t="n">
        <f aca="false">Screening!C10</f>
        <v>31</v>
      </c>
      <c r="J6" s="3"/>
    </row>
    <row r="7" customFormat="false" ht="15" hidden="false" customHeight="false" outlineLevel="0" collapsed="false">
      <c r="A7" s="36" t="s">
        <v>270</v>
      </c>
      <c r="C7" s="41" t="n">
        <f aca="false">Screening!C11</f>
        <v>0.22</v>
      </c>
      <c r="J7" s="3"/>
    </row>
    <row r="8" customFormat="false" ht="15" hidden="false" customHeight="false" outlineLevel="0" collapsed="false">
      <c r="A8" s="36" t="s">
        <v>271</v>
      </c>
      <c r="C8" s="41" t="n">
        <f aca="false">'Stressed case'!B11</f>
        <v>0.158</v>
      </c>
      <c r="J8" s="3"/>
    </row>
    <row r="9" customFormat="false" ht="15" hidden="false" customHeight="false" outlineLevel="0" collapsed="false">
      <c r="A9" s="36" t="s">
        <v>272</v>
      </c>
      <c r="C9" s="29" t="n">
        <v>48</v>
      </c>
      <c r="J9" s="3"/>
    </row>
    <row r="10" customFormat="false" ht="15" hidden="false" customHeight="false" outlineLevel="0" collapsed="false">
      <c r="A10" s="36" t="s">
        <v>273</v>
      </c>
      <c r="C10" s="53" t="n">
        <f aca="false">C8/12</f>
        <v>0.0131666666666667</v>
      </c>
      <c r="J10" s="3"/>
    </row>
    <row r="11" customFormat="false" ht="15" hidden="false" customHeight="false" outlineLevel="0" collapsed="false">
      <c r="A11" s="36" t="s">
        <v>274</v>
      </c>
      <c r="C11" s="53" t="n">
        <f aca="false">(1+C7)^(1/12)-1</f>
        <v>0.0167089638731281</v>
      </c>
      <c r="J11" s="3"/>
    </row>
    <row r="12" customFormat="false" ht="15" hidden="false" customHeight="false" outlineLevel="0" collapsed="false">
      <c r="J12" s="3"/>
    </row>
    <row r="13" customFormat="false" ht="15" hidden="false" customHeight="false" outlineLevel="0" collapsed="false">
      <c r="A13" s="5" t="s">
        <v>275</v>
      </c>
      <c r="J13" s="3"/>
    </row>
    <row r="14" customFormat="false" ht="15" hidden="false" customHeight="false" outlineLevel="0" collapsed="false">
      <c r="A14" s="36" t="s">
        <v>276</v>
      </c>
      <c r="C14" s="12" t="n">
        <f aca="false">C5/C6</f>
        <v>20.6451612903226</v>
      </c>
      <c r="J14" s="3"/>
    </row>
    <row r="15" customFormat="false" ht="15" hidden="false" customHeight="false" outlineLevel="0" collapsed="false">
      <c r="A15" s="36" t="s">
        <v>277</v>
      </c>
      <c r="C15" s="12" t="n">
        <f aca="false">SUM(D32:D151)</f>
        <v>20.915360878695</v>
      </c>
      <c r="J15" s="3"/>
    </row>
    <row r="16" customFormat="false" ht="15" hidden="false" customHeight="false" outlineLevel="0" collapsed="false">
      <c r="A16" s="36" t="s">
        <v>278</v>
      </c>
      <c r="C16" s="12" t="n">
        <f aca="false">SUM(E32:E151)</f>
        <v>20.5579608789055</v>
      </c>
      <c r="J16" s="3"/>
    </row>
    <row r="17" customFormat="false" ht="15" hidden="false" customHeight="false" outlineLevel="0" collapsed="false">
      <c r="A17" s="39" t="s">
        <v>279</v>
      </c>
      <c r="C17" s="39" t="str">
        <f aca="false">IF(AND(C15&gt;=C14,C16&lt;C14),"yes","no: change row 9")</f>
        <v>yes</v>
      </c>
      <c r="J17" s="3"/>
    </row>
    <row r="18" customFormat="false" ht="15" hidden="false" customHeight="false" outlineLevel="0" collapsed="false">
      <c r="A18" s="36" t="s">
        <v>280</v>
      </c>
      <c r="C18" s="60" t="n">
        <f aca="false">SUM(B32:B151)</f>
        <v>26.9940635876189</v>
      </c>
      <c r="J18" s="3"/>
    </row>
    <row r="19" customFormat="false" ht="15" hidden="false" customHeight="false" outlineLevel="0" collapsed="false">
      <c r="A19" s="39" t="s">
        <v>281</v>
      </c>
      <c r="C19" s="61" t="n">
        <f aca="false">SUM(G32:G151)/SUM(D32:D151)</f>
        <v>18.6844954650185</v>
      </c>
      <c r="J19" s="3"/>
    </row>
    <row r="20" customFormat="false" ht="15" hidden="false" customHeight="false" outlineLevel="0" collapsed="false">
      <c r="A20" s="39" t="s">
        <v>282</v>
      </c>
      <c r="C20" s="61" t="n">
        <f aca="false">SUM(H32:H151)/SUM(D32:D151)</f>
        <v>33.6503680647981</v>
      </c>
      <c r="J20" s="3"/>
    </row>
    <row r="21" customFormat="false" ht="15" hidden="false" customHeight="false" outlineLevel="0" collapsed="false">
      <c r="A21" s="36" t="s">
        <v>283</v>
      </c>
      <c r="C21" s="30" t="n">
        <v>31</v>
      </c>
      <c r="J21" s="3"/>
    </row>
    <row r="22" customFormat="false" ht="15" hidden="false" customHeight="false" outlineLevel="0" collapsed="false">
      <c r="A22" s="39" t="s">
        <v>284</v>
      </c>
      <c r="C22" s="39" t="str">
        <f aca="false">IF(ABS(C21-C20)&lt;ABS(C21-C19),"a remaining term","a remaining life")</f>
        <v>a remaining term</v>
      </c>
      <c r="J22" s="3"/>
    </row>
    <row r="23" customFormat="false" ht="15" hidden="false" customHeight="false" outlineLevel="0" collapsed="false">
      <c r="J23" s="3"/>
    </row>
    <row r="24" customFormat="false" ht="15" hidden="false" customHeight="false" outlineLevel="0" collapsed="false">
      <c r="A24" s="5" t="s">
        <v>285</v>
      </c>
      <c r="J24" s="3"/>
    </row>
    <row r="25" customFormat="false" ht="23.85" hidden="false" customHeight="false" outlineLevel="0" collapsed="false">
      <c r="A25" s="62" t="s">
        <v>286</v>
      </c>
      <c r="B25" s="62" t="s">
        <v>287</v>
      </c>
      <c r="C25" s="62" t="s">
        <v>288</v>
      </c>
      <c r="D25" s="62" t="s">
        <v>289</v>
      </c>
      <c r="E25" s="62" t="s">
        <v>290</v>
      </c>
      <c r="F25" s="62" t="s">
        <v>235</v>
      </c>
      <c r="G25" s="62" t="s">
        <v>291</v>
      </c>
      <c r="H25" s="62" t="s">
        <v>292</v>
      </c>
      <c r="J25" s="3"/>
    </row>
    <row r="26" customFormat="false" ht="15" hidden="false" customHeight="false" outlineLevel="0" collapsed="false">
      <c r="A26" s="36" t="s">
        <v>293</v>
      </c>
      <c r="B26" s="59" t="n">
        <f aca="false">'Amortisation sensitivity'!D4</f>
        <v>31</v>
      </c>
      <c r="C26" s="63" t="n">
        <f aca="false">'Amortisation sensitivity'!D5</f>
        <v>17.0435995053114</v>
      </c>
      <c r="D26" s="41" t="n">
        <f aca="false">'Amortisation sensitivity'!D6</f>
        <v>0.672384953028109</v>
      </c>
      <c r="E26" s="41" t="n">
        <f aca="false">'Amortisation sensitivity'!D7</f>
        <v>0.228420938881299</v>
      </c>
      <c r="F26" s="59" t="n">
        <f aca="false">'Amortisation sensitivity'!D9</f>
        <v>24</v>
      </c>
      <c r="G26" s="28" t="n">
        <f aca="false">IFERROR(MATCH(TRUE(),INDEX('Amortisation sensitivity'!D71:D119&lt;=0,0),0),"beyond")</f>
        <v>26</v>
      </c>
      <c r="H26" s="28" t="n">
        <f aca="false">IF(ISNUMBER(G26),'What made the difference'!$C$18+G26,"beyond")</f>
        <v>48</v>
      </c>
      <c r="J26" s="3"/>
    </row>
    <row r="27" customFormat="false" ht="15" hidden="false" customHeight="false" outlineLevel="0" collapsed="false">
      <c r="A27" s="36" t="s">
        <v>294</v>
      </c>
      <c r="B27" s="59" t="n">
        <f aca="false">'Amortisation sensitivity'!F4</f>
        <v>57</v>
      </c>
      <c r="C27" s="63" t="n">
        <f aca="false">'Amortisation sensitivity'!F5</f>
        <v>31.8334711825989</v>
      </c>
      <c r="D27" s="41" t="n">
        <f aca="false">'Amortisation sensitivity'!F6</f>
        <v>0.815908228843159</v>
      </c>
      <c r="E27" s="41" t="n">
        <f aca="false">'Amortisation sensitivity'!F7</f>
        <v>0.567911372921329</v>
      </c>
      <c r="F27" s="59" t="n">
        <f aca="false">'Amortisation sensitivity'!F9</f>
        <v>39</v>
      </c>
      <c r="G27" s="28" t="n">
        <f aca="false">IFERROR(MATCH(TRUE(),INDEX('Amortisation sensitivity'!F71:F119&lt;=0,0),0),"beyond")</f>
        <v>43</v>
      </c>
      <c r="H27" s="28" t="n">
        <f aca="false">IF(ISNUMBER(G27),'What made the difference'!$C$18+G27,"beyond")</f>
        <v>65</v>
      </c>
      <c r="J27" s="3"/>
    </row>
    <row r="28" customFormat="false" ht="15" hidden="false" customHeight="false" outlineLevel="0" collapsed="false">
      <c r="A28" s="36" t="s">
        <v>295</v>
      </c>
      <c r="B28" s="59" t="n">
        <f aca="false">'Amortisation sensitivity'!C4</f>
        <v>24</v>
      </c>
      <c r="C28" s="63" t="n">
        <f aca="false">'Amortisation sensitivity'!C5</f>
        <v>13.125756495741</v>
      </c>
      <c r="D28" s="41" t="n">
        <f aca="false">'Amortisation sensitivity'!C6</f>
        <v>0.579273551286544</v>
      </c>
      <c r="E28" s="41" t="n">
        <f aca="false">'Amortisation sensitivity'!C7</f>
        <v>0.0081749194687111</v>
      </c>
      <c r="F28" s="59" t="n">
        <f aca="false">'Amortisation sensitivity'!C9</f>
        <v>19</v>
      </c>
      <c r="G28" s="28" t="n">
        <f aca="false">IFERROR(MATCH(TRUE(),INDEX('Amortisation sensitivity'!C71:C119&lt;=0,0),0),"beyond")</f>
        <v>21</v>
      </c>
      <c r="H28" s="28" t="n">
        <f aca="false">IF(ISNUMBER(G28),'What made the difference'!$C$18+G28,"beyond")</f>
        <v>43</v>
      </c>
      <c r="J28" s="3"/>
    </row>
    <row r="29" customFormat="false" ht="15" hidden="false" customHeight="false" outlineLevel="0" collapsed="false">
      <c r="A29" s="36" t="s">
        <v>296</v>
      </c>
      <c r="C29" s="59" t="n">
        <f aca="false">Structure!C7*12</f>
        <v>48</v>
      </c>
      <c r="J29" s="3"/>
    </row>
    <row r="31" customFormat="false" ht="23.85" hidden="false" customHeight="false" outlineLevel="0" collapsed="false">
      <c r="A31" s="62" t="s">
        <v>297</v>
      </c>
      <c r="B31" s="62" t="s">
        <v>240</v>
      </c>
      <c r="C31" s="62" t="s">
        <v>298</v>
      </c>
      <c r="D31" s="62" t="s">
        <v>299</v>
      </c>
      <c r="E31" s="62" t="s">
        <v>300</v>
      </c>
      <c r="F31" s="62" t="s">
        <v>301</v>
      </c>
      <c r="G31" s="62" t="s">
        <v>302</v>
      </c>
      <c r="H31" s="62" t="s">
        <v>303</v>
      </c>
    </row>
    <row r="32" customFormat="false" ht="15" hidden="false" customHeight="false" outlineLevel="0" collapsed="false">
      <c r="A32" s="36" t="n">
        <v>0</v>
      </c>
      <c r="B32" s="54" t="n">
        <f aca="false">IF(A32&lt;$C$9,(1-(1+$C$10)^-($C$9-A32))/(1-(1+$C$10)^-$C$9),0)</f>
        <v>1</v>
      </c>
      <c r="C32" s="54"/>
      <c r="D32" s="54" t="n">
        <f aca="false">B32*(1+$C$11)^-A32</f>
        <v>1</v>
      </c>
      <c r="E32" s="54" t="n">
        <f aca="false">IF(A32&lt;$C$9-1,(1-(1+$C$10)^-($C$9-1-A32))/(1-(1+$C$10)^-($C$9-1)),0)*(1+$C$11)^-A32</f>
        <v>1</v>
      </c>
      <c r="F32" s="54" t="n">
        <f aca="false">B32+F33</f>
        <v>26.9940635876189</v>
      </c>
      <c r="G32" s="54" t="n">
        <f aca="false">F32*(1+$C$11)^-A32</f>
        <v>26.9940635876189</v>
      </c>
      <c r="H32" s="54" t="n">
        <f aca="false">D32*MAX(0,$C$9-A32)</f>
        <v>48</v>
      </c>
    </row>
    <row r="33" customFormat="false" ht="15" hidden="false" customHeight="false" outlineLevel="0" collapsed="false">
      <c r="A33" s="36" t="n">
        <v>1</v>
      </c>
      <c r="B33" s="54" t="n">
        <f aca="false">IF(A33&lt;$C$9,(1-(1+$C$10)^-($C$9-A33))/(1-(1+$C$10)^-$C$9),0)</f>
        <v>0.98492871172423</v>
      </c>
      <c r="C33" s="54"/>
      <c r="D33" s="54" t="n">
        <f aca="false">B33*(1+$C$11)^-A33</f>
        <v>0.968742036041629</v>
      </c>
      <c r="E33" s="54" t="n">
        <f aca="false">IF(A33&lt;$C$9-1,(1-(1+$C$10)^-($C$9-1-A33))/(1-(1+$C$10)^-($C$9-1)),0)*(1+$C$11)^-A33</f>
        <v>0.968317042659447</v>
      </c>
      <c r="F33" s="54" t="n">
        <f aca="false">B33+F34</f>
        <v>25.9940635876189</v>
      </c>
      <c r="G33" s="54" t="n">
        <f aca="false">F33*(1+$C$11)^-A33</f>
        <v>25.5668677185604</v>
      </c>
      <c r="H33" s="54" t="n">
        <f aca="false">D33*MAX(0,$C$9-A33)</f>
        <v>45.5308756939566</v>
      </c>
    </row>
    <row r="34" customFormat="false" ht="15" hidden="false" customHeight="false" outlineLevel="0" collapsed="false">
      <c r="A34" s="36" t="n">
        <v>2</v>
      </c>
      <c r="B34" s="54" t="n">
        <f aca="false">IF(A34&lt;$C$9,(1-(1+$C$10)^-($C$9-A34))/(1-(1+$C$10)^-$C$9),0)</f>
        <v>0.969658984819495</v>
      </c>
      <c r="C34" s="54"/>
      <c r="D34" s="54" t="n">
        <f aca="false">B34*(1+$C$11)^-A34</f>
        <v>0.938049423439722</v>
      </c>
      <c r="E34" s="54" t="n">
        <f aca="false">IF(A34&lt;$C$9-1,(1-(1+$C$10)^-($C$9-1-A34))/(1-(1+$C$10)^-($C$9-1)),0)*(1+$C$11)^-A34</f>
        <v>0.937207901882456</v>
      </c>
      <c r="F34" s="54" t="n">
        <f aca="false">B34+F35</f>
        <v>25.0091348758947</v>
      </c>
      <c r="G34" s="54" t="n">
        <f aca="false">F34*(1+$C$11)^-A34</f>
        <v>24.1938711633001</v>
      </c>
      <c r="H34" s="54" t="n">
        <f aca="false">D34*MAX(0,$C$9-A34)</f>
        <v>43.1502734782272</v>
      </c>
    </row>
    <row r="35" customFormat="false" ht="15" hidden="false" customHeight="false" outlineLevel="0" collapsed="false">
      <c r="A35" s="36" t="n">
        <v>3</v>
      </c>
      <c r="B35" s="54" t="n">
        <f aca="false">IF(A35&lt;$C$9,(1-(1+$C$10)^-($C$9-A35))/(1-(1+$C$10)^-$C$9),0)</f>
        <v>0.954188206510515</v>
      </c>
      <c r="C35" s="54"/>
      <c r="D35" s="54" t="n">
        <f aca="false">B35*(1+$C$11)^-A35</f>
        <v>0.907912691063914</v>
      </c>
      <c r="E35" s="54" t="n">
        <f aca="false">IF(A35&lt;$C$9-1,(1-(1+$C$10)^-($C$9-1-A35))/(1-(1+$C$10)^-($C$9-1)),0)*(1+$C$11)^-A35</f>
        <v>0.906662962259461</v>
      </c>
      <c r="F35" s="54" t="n">
        <f aca="false">B35+F36</f>
        <v>24.0394758910752</v>
      </c>
      <c r="G35" s="54" t="n">
        <f aca="false">F35*(1+$C$11)^-A35</f>
        <v>22.8736271304896</v>
      </c>
      <c r="H35" s="54" t="n">
        <f aca="false">D35*MAX(0,$C$9-A35)</f>
        <v>40.8560710978761</v>
      </c>
    </row>
    <row r="36" customFormat="false" ht="15" hidden="false" customHeight="false" outlineLevel="0" collapsed="false">
      <c r="A36" s="36" t="n">
        <v>4</v>
      </c>
      <c r="B36" s="54" t="n">
        <f aca="false">IF(A36&lt;$C$9,(1-(1+$C$10)^-($C$9-A36))/(1-(1+$C$10)^-$C$9),0)</f>
        <v>0.938513729620466</v>
      </c>
      <c r="C36" s="54"/>
      <c r="D36" s="54" t="n">
        <f aca="false">B36*(1+$C$11)^-A36</f>
        <v>0.878322524062765</v>
      </c>
      <c r="E36" s="54" t="n">
        <f aca="false">IF(A36&lt;$C$9-1,(1-(1+$C$10)^-($C$9-1-A36))/(1-(1+$C$10)^-($C$9-1)),0)*(1+$C$11)^-A36</f>
        <v>0.876672767048926</v>
      </c>
      <c r="F36" s="54" t="n">
        <f aca="false">B36+F37</f>
        <v>23.0852876845646</v>
      </c>
      <c r="G36" s="54" t="n">
        <f aca="false">F36*(1+$C$11)^-A36</f>
        <v>21.6047219213528</v>
      </c>
      <c r="H36" s="54" t="n">
        <f aca="false">D36*MAX(0,$C$9-A36)</f>
        <v>38.6461910587617</v>
      </c>
    </row>
    <row r="37" customFormat="false" ht="15" hidden="false" customHeight="false" outlineLevel="0" collapsed="false">
      <c r="A37" s="36" t="n">
        <v>5</v>
      </c>
      <c r="B37" s="54" t="n">
        <f aca="false">IF(A37&lt;$C$9,(1-(1+$C$10)^-($C$9-A37))/(1-(1+$C$10)^-$C$9),0)</f>
        <v>0.922632872118032</v>
      </c>
      <c r="C37" s="54"/>
      <c r="D37" s="54" t="n">
        <f aca="false">B37*(1+$C$11)^-A37</f>
        <v>0.849269761293226</v>
      </c>
      <c r="E37" s="54" t="n">
        <f aca="false">IF(A37&lt;$C$9-1,(1-(1+$C$10)^-($C$9-1-A37))/(1-(1+$C$10)^-($C$9-1)),0)*(1+$C$11)^-A37</f>
        <v>0.847228015567495</v>
      </c>
      <c r="F37" s="54" t="n">
        <f aca="false">B37+F38</f>
        <v>22.1467739549442</v>
      </c>
      <c r="G37" s="54" t="n">
        <f aca="false">F37*(1+$C$11)^-A37</f>
        <v>20.3857742321198</v>
      </c>
      <c r="H37" s="54" t="n">
        <f aca="false">D37*MAX(0,$C$9-A37)</f>
        <v>36.5185997356087</v>
      </c>
    </row>
    <row r="38" customFormat="false" ht="15" hidden="false" customHeight="false" outlineLevel="0" collapsed="false">
      <c r="A38" s="36" t="n">
        <v>6</v>
      </c>
      <c r="B38" s="54" t="n">
        <f aca="false">IF(A38&lt;$C$9,(1-(1+$C$10)^-($C$9-A38))/(1-(1+$C$10)^-$C$9),0)</f>
        <v>0.906542916658482</v>
      </c>
      <c r="C38" s="54"/>
      <c r="D38" s="54" t="n">
        <f aca="false">B38*(1+$C$11)^-A38</f>
        <v>0.820745392792364</v>
      </c>
      <c r="E38" s="54" t="n">
        <f aca="false">IF(A38&lt;$C$9-1,(1-(1+$C$10)^-($C$9-1-A38))/(1-(1+$C$10)^-($C$9-1)),0)*(1+$C$11)^-A38</f>
        <v>0.81831956062303</v>
      </c>
      <c r="F38" s="54" t="n">
        <f aca="false">B38+F39</f>
        <v>21.2241410828261</v>
      </c>
      <c r="G38" s="54" t="n">
        <f aca="false">F38*(1+$C$11)^-A38</f>
        <v>19.2154344704533</v>
      </c>
      <c r="H38" s="54" t="n">
        <f aca="false">D38*MAX(0,$C$9-A38)</f>
        <v>34.4713064972793</v>
      </c>
    </row>
    <row r="39" customFormat="false" ht="15" hidden="false" customHeight="false" outlineLevel="0" collapsed="false">
      <c r="A39" s="36" t="n">
        <v>7</v>
      </c>
      <c r="B39" s="54" t="n">
        <f aca="false">IF(A39&lt;$C$9,(1-(1+$C$10)^-($C$9-A39))/(1-(1+$C$10)^-$C$9),0)</f>
        <v>0.890241110118715</v>
      </c>
      <c r="C39" s="54"/>
      <c r="D39" s="54" t="n">
        <f aca="false">B39*(1+$C$11)^-A39</f>
        <v>0.792740557290645</v>
      </c>
      <c r="E39" s="54" t="n">
        <f aca="false">IF(A39&lt;$C$9-1,(1-(1+$C$10)^-($C$9-1-A39))/(1-(1+$C$10)^-($C$9-1)),0)*(1+$C$11)^-A39</f>
        <v>0.789938405989854</v>
      </c>
      <c r="F39" s="54" t="n">
        <f aca="false">B39+F40</f>
        <v>20.3175981661677</v>
      </c>
      <c r="G39" s="54" t="n">
        <f aca="false">F39*(1+$C$11)^-A39</f>
        <v>18.092384085596</v>
      </c>
      <c r="H39" s="54" t="n">
        <f aca="false">D39*MAX(0,$C$9-A39)</f>
        <v>32.5023628489165</v>
      </c>
    </row>
    <row r="40" customFormat="false" ht="15" hidden="false" customHeight="false" outlineLevel="0" collapsed="false">
      <c r="A40" s="36" t="n">
        <v>8</v>
      </c>
      <c r="B40" s="54" t="n">
        <f aca="false">IF(A40&lt;$C$9,(1-(1+$C$10)^-($C$9-A40))/(1-(1+$C$10)^-$C$9),0)</f>
        <v>0.873724663126174</v>
      </c>
      <c r="C40" s="54"/>
      <c r="D40" s="54" t="n">
        <f aca="false">B40*(1+$C$11)^-A40</f>
        <v>0.76524653976609</v>
      </c>
      <c r="E40" s="54" t="n">
        <f aca="false">IF(A40&lt;$C$9-1,(1-(1+$C$10)^-($C$9-1-A40))/(1-(1+$C$10)^-($C$9-1)),0)*(1+$C$11)^-A40</f>
        <v>0.762075703925489</v>
      </c>
      <c r="F40" s="54" t="n">
        <f aca="false">B40+F41</f>
        <v>19.4273570560489</v>
      </c>
      <c r="G40" s="54" t="n">
        <f aca="false">F40*(1+$C$11)^-A40</f>
        <v>17.015334911972</v>
      </c>
      <c r="H40" s="54" t="n">
        <f aca="false">D40*MAX(0,$C$9-A40)</f>
        <v>30.6098615906436</v>
      </c>
    </row>
    <row r="41" customFormat="false" ht="15" hidden="false" customHeight="false" outlineLevel="0" collapsed="false">
      <c r="A41" s="36" t="n">
        <v>9</v>
      </c>
      <c r="B41" s="54" t="n">
        <f aca="false">IF(A41&lt;$C$9,(1-(1+$C$10)^-($C$9-A41))/(1-(1+$C$10)^-$C$9),0)</f>
        <v>0.856990749581565</v>
      </c>
      <c r="C41" s="54"/>
      <c r="D41" s="54" t="n">
        <f aca="false">B41*(1+$C$11)^-A41</f>
        <v>0.738254769038636</v>
      </c>
      <c r="E41" s="54" t="n">
        <f aca="false">IF(A41&lt;$C$9-1,(1-(1+$C$10)^-($C$9-1-A41))/(1-(1+$C$10)^-($C$9-1)),0)*(1+$C$11)^-A41</f>
        <v>0.734722752728213</v>
      </c>
      <c r="F41" s="54" t="n">
        <f aca="false">B41+F42</f>
        <v>18.5536323929228</v>
      </c>
      <c r="G41" s="54" t="n">
        <f aca="false">F41*(1+$C$11)^-A41</f>
        <v>15.9830285259821</v>
      </c>
      <c r="H41" s="54" t="n">
        <f aca="false">D41*MAX(0,$C$9-A41)</f>
        <v>28.7919359925068</v>
      </c>
    </row>
    <row r="42" customFormat="false" ht="15" hidden="false" customHeight="false" outlineLevel="0" collapsed="false">
      <c r="A42" s="36" t="n">
        <v>10</v>
      </c>
      <c r="B42" s="54" t="n">
        <f aca="false">IF(A42&lt;$C$9,(1-(1+$C$10)^-($C$9-A42))/(1-(1+$C$10)^-$C$9),0)</f>
        <v>0.840036506175285</v>
      </c>
      <c r="C42" s="54"/>
      <c r="D42" s="54" t="n">
        <f aca="false">B42*(1+$C$11)^-A42</f>
        <v>0.71175681540404</v>
      </c>
      <c r="E42" s="54" t="n">
        <f aca="false">IF(A42&lt;$C$9-1,(1-(1+$C$10)^-($C$9-1-A42))/(1-(1+$C$10)^-($C$9-1)),0)*(1+$C$11)^-A42</f>
        <v>0.707870994334767</v>
      </c>
      <c r="F42" s="54" t="n">
        <f aca="false">B42+F43</f>
        <v>17.6966416433412</v>
      </c>
      <c r="G42" s="54" t="n">
        <f aca="false">F42*(1+$C$11)^-A42</f>
        <v>14.994235615735</v>
      </c>
      <c r="H42" s="54" t="n">
        <f aca="false">D42*MAX(0,$C$9-A42)</f>
        <v>27.0467589853535</v>
      </c>
    </row>
    <row r="43" customFormat="false" ht="15" hidden="false" customHeight="false" outlineLevel="0" collapsed="false">
      <c r="A43" s="36" t="n">
        <v>11</v>
      </c>
      <c r="B43" s="54" t="n">
        <f aca="false">IF(A43&lt;$C$9,(1-(1+$C$10)^-($C$9-A43))/(1-(1+$C$10)^-$C$9),0)</f>
        <v>0.822859031897489</v>
      </c>
      <c r="C43" s="54"/>
      <c r="D43" s="54" t="n">
        <f aca="false">B43*(1+$C$11)^-A43</f>
        <v>0.685744388306675</v>
      </c>
      <c r="E43" s="54" t="n">
        <f aca="false">IF(A43&lt;$C$9-1,(1-(1+$C$10)^-($C$9-1-A43))/(1-(1+$C$10)^-($C$9-1)),0)*(1+$C$11)^-A43</f>
        <v>0.681512011957542</v>
      </c>
      <c r="F43" s="54" t="n">
        <f aca="false">B43+F44</f>
        <v>16.8566051371659</v>
      </c>
      <c r="G43" s="54" t="n">
        <f aca="false">F43*(1+$C$11)^-A43</f>
        <v>14.0477553634643</v>
      </c>
      <c r="H43" s="54" t="n">
        <f aca="false">D43*MAX(0,$C$9-A43)</f>
        <v>25.372542367347</v>
      </c>
    </row>
    <row r="44" customFormat="false" ht="15" hidden="false" customHeight="false" outlineLevel="0" collapsed="false">
      <c r="A44" s="36" t="n">
        <v>12</v>
      </c>
      <c r="B44" s="54" t="n">
        <f aca="false">IF(A44&lt;$C$9,(1-(1+$C$10)^-($C$9-A44))/(1-(1+$C$10)^-$C$9),0)</f>
        <v>0.805455387541703</v>
      </c>
      <c r="C44" s="54"/>
      <c r="D44" s="54" t="n">
        <f aca="false">B44*(1+$C$11)^-A44</f>
        <v>0.660209334050577</v>
      </c>
      <c r="E44" s="54" t="n">
        <f aca="false">IF(A44&lt;$C$9-1,(1-(1+$C$10)^-($C$9-1-A44))/(1-(1+$C$10)^-($C$9-1)),0)*(1+$C$11)^-A44</f>
        <v>0.655637527760621</v>
      </c>
      <c r="F44" s="54" t="n">
        <f aca="false">B44+F45</f>
        <v>16.0337461052684</v>
      </c>
      <c r="G44" s="54" t="n">
        <f aca="false">F44*(1+$C$11)^-A44</f>
        <v>13.142414840384</v>
      </c>
      <c r="H44" s="54" t="n">
        <f aca="false">D44*MAX(0,$C$9-A44)</f>
        <v>23.7675360258208</v>
      </c>
    </row>
    <row r="45" customFormat="false" ht="15" hidden="false" customHeight="false" outlineLevel="0" collapsed="false">
      <c r="A45" s="36" t="n">
        <v>13</v>
      </c>
      <c r="B45" s="54" t="n">
        <f aca="false">IF(A45&lt;$C$9,(1-(1+$C$10)^-($C$9-A45))/(1-(1+$C$10)^-$C$9),0)</f>
        <v>0.787822595201898</v>
      </c>
      <c r="C45" s="54"/>
      <c r="D45" s="54" t="n">
        <f aca="false">B45*(1+$C$11)^-A45</f>
        <v>0.635143633548124</v>
      </c>
      <c r="E45" s="54" t="n">
        <f aca="false">IF(A45&lt;$C$9-1,(1-(1+$C$10)^-($C$9-1-A45))/(1-(1+$C$10)^-($C$9-1)),0)*(1+$C$11)^-A45</f>
        <v>0.630239400574001</v>
      </c>
      <c r="F45" s="54" t="n">
        <f aca="false">B45+F46</f>
        <v>15.2282907177267</v>
      </c>
      <c r="G45" s="54" t="n">
        <f aca="false">F45*(1+$C$11)^-A45</f>
        <v>12.2770684137403</v>
      </c>
      <c r="H45" s="54" t="n">
        <f aca="false">D45*MAX(0,$C$9-A45)</f>
        <v>22.2300271741843</v>
      </c>
    </row>
    <row r="46" customFormat="false" ht="15" hidden="false" customHeight="false" outlineLevel="0" collapsed="false">
      <c r="A46" s="36" t="n">
        <v>14</v>
      </c>
      <c r="B46" s="54" t="n">
        <f aca="false">IF(A46&lt;$C$9,(1-(1+$C$10)^-($C$9-A46))/(1-(1+$C$10)^-$C$9),0)</f>
        <v>0.769957637762953</v>
      </c>
      <c r="C46" s="54"/>
      <c r="D46" s="54" t="n">
        <f aca="false">B46*(1+$C$11)^-A46</f>
        <v>0.610539400105714</v>
      </c>
      <c r="E46" s="54" t="n">
        <f aca="false">IF(A46&lt;$C$9-1,(1-(1+$C$10)^-($C$9-1-A46))/(1-(1+$C$10)^-($C$9-1)),0)*(1+$C$11)^-A46</f>
        <v>0.605309623645408</v>
      </c>
      <c r="F46" s="54" t="n">
        <f aca="false">B46+F47</f>
        <v>14.4404681225248</v>
      </c>
      <c r="G46" s="54" t="n">
        <f aca="false">F46*(1+$C$11)^-A46</f>
        <v>11.4505971658227</v>
      </c>
      <c r="H46" s="54" t="n">
        <f aca="false">D46*MAX(0,$C$9-A46)</f>
        <v>20.7583396035943</v>
      </c>
    </row>
    <row r="47" customFormat="false" ht="15" hidden="false" customHeight="false" outlineLevel="0" collapsed="false">
      <c r="A47" s="36" t="n">
        <v>15</v>
      </c>
      <c r="B47" s="54" t="n">
        <f aca="false">IF(A47&lt;$C$9,(1-(1+$C$10)^-($C$9-A47))/(1-(1+$C$10)^-$C$9),0)</f>
        <v>0.751857458384394</v>
      </c>
      <c r="C47" s="54"/>
      <c r="D47" s="54" t="n">
        <f aca="false">B47*(1+$C$11)^-A47</f>
        <v>0.586388877245845</v>
      </c>
      <c r="E47" s="54" t="n">
        <f aca="false">IF(A47&lt;$C$9-1,(1-(1+$C$10)^-($C$9-1-A47))/(1-(1+$C$10)^-($C$9-1)),0)*(1+$C$11)^-A47</f>
        <v>0.580840322429049</v>
      </c>
      <c r="F47" s="54" t="n">
        <f aca="false">B47+F48</f>
        <v>13.6705104847619</v>
      </c>
      <c r="G47" s="54" t="n">
        <f aca="false">F47*(1+$C$11)^-A47</f>
        <v>10.6619083247009</v>
      </c>
      <c r="H47" s="54" t="n">
        <f aca="false">D47*MAX(0,$C$9-A47)</f>
        <v>19.3508329491129</v>
      </c>
    </row>
    <row r="48" customFormat="false" ht="15" hidden="false" customHeight="false" outlineLevel="0" collapsed="false">
      <c r="A48" s="36" t="n">
        <v>16</v>
      </c>
      <c r="B48" s="54" t="n">
        <f aca="false">IF(A48&lt;$C$9,(1-(1+$C$10)^-($C$9-A48))/(1-(1+$C$10)^-$C$9),0)</f>
        <v>0.733518959977352</v>
      </c>
      <c r="C48" s="54"/>
      <c r="D48" s="54" t="n">
        <f aca="false">B48*(1+$C$11)^-A48</f>
        <v>0.562684436564993</v>
      </c>
      <c r="E48" s="54" t="n">
        <f aca="false">IF(A48&lt;$C$9-1,(1-(1+$C$10)^-($C$9-1-A48))/(1-(1+$C$10)^-($C$9-1)),0)*(1+$C$11)^-A48</f>
        <v>0.556823752410726</v>
      </c>
      <c r="F48" s="54" t="n">
        <f aca="false">B48+F49</f>
        <v>12.9186530263775</v>
      </c>
      <c r="G48" s="54" t="n">
        <f aca="false">F48*(1+$C$11)^-A48</f>
        <v>9.9099347064598</v>
      </c>
      <c r="H48" s="54" t="n">
        <f aca="false">D48*MAX(0,$C$9-A48)</f>
        <v>18.0059019700798</v>
      </c>
    </row>
    <row r="49" customFormat="false" ht="15" hidden="false" customHeight="false" outlineLevel="0" collapsed="false">
      <c r="A49" s="36" t="n">
        <v>17</v>
      </c>
      <c r="B49" s="54" t="n">
        <f aca="false">IF(A49&lt;$C$9,(1-(1+$C$10)^-($C$9-A49))/(1-(1+$C$10)^-$C$9),0)</f>
        <v>0.714939004674617</v>
      </c>
      <c r="C49" s="54"/>
      <c r="D49" s="54" t="n">
        <f aca="false">B49*(1+$C$11)^-A49</f>
        <v>0.539418575626707</v>
      </c>
      <c r="E49" s="54" t="n">
        <f aca="false">IF(A49&lt;$C$9-1,(1-(1+$C$10)^-($C$9-1-A49))/(1-(1+$C$10)^-($C$9-1)),0)*(1+$C$11)^-A49</f>
        <v>0.533252296968693</v>
      </c>
      <c r="F49" s="54" t="n">
        <f aca="false">B49+F50</f>
        <v>12.1851340664001</v>
      </c>
      <c r="G49" s="54" t="n">
        <f aca="false">F49*(1+$C$11)^-A49</f>
        <v>9.19363416870713</v>
      </c>
      <c r="H49" s="54" t="n">
        <f aca="false">D49*MAX(0,$C$9-A49)</f>
        <v>16.7219758444279</v>
      </c>
    </row>
    <row r="50" customFormat="false" ht="15" hidden="false" customHeight="false" outlineLevel="0" collapsed="false">
      <c r="A50" s="36" t="n">
        <v>18</v>
      </c>
      <c r="B50" s="54" t="n">
        <f aca="false">IF(A50&lt;$C$9,(1-(1+$C$10)^-($C$9-A50))/(1-(1+$C$10)^-$C$9),0)</f>
        <v>0.696114413293728</v>
      </c>
      <c r="C50" s="54"/>
      <c r="D50" s="54" t="n">
        <f aca="false">B50*(1+$C$11)^-A50</f>
        <v>0.516583915889327</v>
      </c>
      <c r="E50" s="54" t="n">
        <f aca="false">IF(A50&lt;$C$9-1,(1-(1+$C$10)^-($C$9-1-A50))/(1-(1+$C$10)^-($C$9-1)),0)*(1+$C$11)^-A50</f>
        <v>0.510118465269678</v>
      </c>
      <c r="F50" s="54" t="n">
        <f aca="false">B50+F51</f>
        <v>11.4701950617255</v>
      </c>
      <c r="G50" s="54" t="n">
        <f aca="false">F50*(1+$C$11)^-A50</f>
        <v>8.51198907513552</v>
      </c>
      <c r="H50" s="54" t="n">
        <f aca="false">D50*MAX(0,$C$9-A50)</f>
        <v>15.4975174766798</v>
      </c>
    </row>
    <row r="51" customFormat="false" ht="15" hidden="false" customHeight="false" outlineLevel="0" collapsed="false">
      <c r="A51" s="36" t="n">
        <v>19</v>
      </c>
      <c r="B51" s="54" t="n">
        <f aca="false">IF(A51&lt;$C$9,(1-(1+$C$10)^-($C$9-A51))/(1-(1+$C$10)^-$C$9),0)</f>
        <v>0.677041964792992</v>
      </c>
      <c r="C51" s="54"/>
      <c r="D51" s="54" t="n">
        <f aca="false">B51*(1+$C$11)^-A51</f>
        <v>0.494173200667779</v>
      </c>
      <c r="E51" s="54" t="n">
        <f aca="false">IF(A51&lt;$C$9-1,(1-(1+$C$10)^-($C$9-1-A51))/(1-(1+$C$10)^-($C$9-1)),0)*(1+$C$11)^-A51</f>
        <v>0.48741489019949</v>
      </c>
      <c r="F51" s="54" t="n">
        <f aca="false">B51+F52</f>
        <v>10.7740806484318</v>
      </c>
      <c r="G51" s="54" t="n">
        <f aca="false">F51*(1+$C$11)^-A51</f>
        <v>7.86400577092179</v>
      </c>
      <c r="H51" s="54" t="n">
        <f aca="false">D51*MAX(0,$C$9-A51)</f>
        <v>14.3310228193656</v>
      </c>
    </row>
    <row r="52" customFormat="false" ht="15" hidden="false" customHeight="false" outlineLevel="0" collapsed="false">
      <c r="A52" s="36" t="n">
        <v>20</v>
      </c>
      <c r="B52" s="54" t="n">
        <f aca="false">IF(A52&lt;$C$9,(1-(1+$C$10)^-($C$9-A52))/(1-(1+$C$10)^-$C$9),0)</f>
        <v>0.657718395720329</v>
      </c>
      <c r="C52" s="54"/>
      <c r="D52" s="54" t="n">
        <f aca="false">B52*(1+$C$11)^-A52</f>
        <v>0.472179293128861</v>
      </c>
      <c r="E52" s="54" t="n">
        <f aca="false">IF(A52&lt;$C$9-1,(1-(1+$C$10)^-($C$9-1-A52))/(1-(1+$C$10)^-($C$9-1)),0)*(1+$C$11)^-A52</f>
        <v>0.465134326327642</v>
      </c>
      <c r="F52" s="54" t="n">
        <f aca="false">B52+F53</f>
        <v>10.0970386836388</v>
      </c>
      <c r="G52" s="54" t="n">
        <f aca="false">F52*(1+$C$11)^-A52</f>
        <v>7.24871406875259</v>
      </c>
      <c r="H52" s="54" t="n">
        <f aca="false">D52*MAX(0,$C$9-A52)</f>
        <v>13.2210202076081</v>
      </c>
    </row>
    <row r="53" customFormat="false" ht="15" hidden="false" customHeight="false" outlineLevel="0" collapsed="false">
      <c r="A53" s="36" t="n">
        <v>21</v>
      </c>
      <c r="B53" s="54" t="n">
        <f aca="false">IF(A53&lt;$C$9,(1-(1+$C$10)^-($C$9-A53))/(1-(1+$C$10)^-$C$9),0)</f>
        <v>0.638140399654877</v>
      </c>
      <c r="C53" s="54"/>
      <c r="D53" s="54" t="n">
        <f aca="false">B53*(1+$C$11)^-A53</f>
        <v>0.450595174319492</v>
      </c>
      <c r="E53" s="54" t="n">
        <f aca="false">IF(A53&lt;$C$9-1,(1-(1+$C$10)^-($C$9-1-A53))/(1-(1+$C$10)^-($C$9-1)),0)*(1+$C$11)^-A53</f>
        <v>0.443269647905432</v>
      </c>
      <c r="F53" s="54" t="n">
        <f aca="false">B53+F54</f>
        <v>9.43932028791847</v>
      </c>
      <c r="G53" s="54" t="n">
        <f aca="false">F53*(1+$C$11)^-A53</f>
        <v>6.66516674526866</v>
      </c>
      <c r="H53" s="54" t="n">
        <f aca="false">D53*MAX(0,$C$9-A53)</f>
        <v>12.1660697066263</v>
      </c>
    </row>
    <row r="54" customFormat="false" ht="15" hidden="false" customHeight="false" outlineLevel="0" collapsed="false">
      <c r="A54" s="36" t="n">
        <v>22</v>
      </c>
      <c r="B54" s="54" t="n">
        <f aca="false">IF(A54&lt;$C$9,(1-(1+$C$10)^-($C$9-A54))/(1-(1+$C$10)^-$C$9),0)</f>
        <v>0.618304626641229</v>
      </c>
      <c r="C54" s="54"/>
      <c r="D54" s="54" t="n">
        <f aca="false">B54*(1+$C$11)^-A54</f>
        <v>0.429413941227365</v>
      </c>
      <c r="E54" s="54" t="n">
        <f aca="false">IF(A54&lt;$C$9-1,(1-(1+$C$10)^-($C$9-1-A54))/(1-(1+$C$10)^-($C$9-1)),0)*(1+$C$11)^-A54</f>
        <v>0.421813846896933</v>
      </c>
      <c r="F54" s="54" t="n">
        <f aca="false">B54+F55</f>
        <v>8.80117988826359</v>
      </c>
      <c r="G54" s="54" t="n">
        <f aca="false">F54*(1+$C$11)^-A54</f>
        <v>6.11243904772405</v>
      </c>
      <c r="H54" s="54" t="n">
        <f aca="false">D54*MAX(0,$C$9-A54)</f>
        <v>11.1647624719115</v>
      </c>
    </row>
    <row r="55" customFormat="false" ht="15" hidden="false" customHeight="false" outlineLevel="0" collapsed="false">
      <c r="A55" s="36" t="n">
        <v>23</v>
      </c>
      <c r="B55" s="54" t="n">
        <f aca="false">IF(A55&lt;$C$9,(1-(1+$C$10)^-($C$9-A55))/(1-(1+$C$10)^-$C$9),0)</f>
        <v>0.598207682616234</v>
      </c>
      <c r="C55" s="54"/>
      <c r="D55" s="54" t="n">
        <f aca="false">B55*(1+$C$11)^-A55</f>
        <v>0.408628804873487</v>
      </c>
      <c r="E55" s="54" t="n">
        <f aca="false">IF(A55&lt;$C$9-1,(1-(1+$C$10)^-($C$9-1-A55))/(1-(1+$C$10)^-($C$9-1)),0)*(1+$C$11)^-A55</f>
        <v>0.400760031042347</v>
      </c>
      <c r="F55" s="54" t="n">
        <f aca="false">B55+F56</f>
        <v>8.18287526162236</v>
      </c>
      <c r="G55" s="54" t="n">
        <f aca="false">F55*(1+$C$11)^-A55</f>
        <v>5.58962821066054</v>
      </c>
      <c r="H55" s="54" t="n">
        <f aca="false">D55*MAX(0,$C$9-A55)</f>
        <v>10.2157201218372</v>
      </c>
    </row>
    <row r="56" customFormat="false" ht="15" hidden="false" customHeight="false" outlineLevel="0" collapsed="false">
      <c r="A56" s="36" t="n">
        <v>24</v>
      </c>
      <c r="B56" s="54" t="n">
        <f aca="false">IF(A56&lt;$C$9,(1-(1+$C$10)^-($C$9-A56))/(1-(1+$C$10)^-$C$9),0)</f>
        <v>0.577846128828244</v>
      </c>
      <c r="C56" s="54"/>
      <c r="D56" s="54" t="n">
        <f aca="false">B56*(1+$C$11)^-A56</f>
        <v>0.388233088436069</v>
      </c>
      <c r="E56" s="54" t="n">
        <f aca="false">IF(A56&lt;$C$9-1,(1-(1+$C$10)^-($C$9-1-A56))/(1-(1+$C$10)^-($C$9-1)),0)*(1+$C$11)^-A56</f>
        <v>0.380101421953194</v>
      </c>
      <c r="F56" s="54" t="n">
        <f aca="false">B56+F57</f>
        <v>7.58466757900613</v>
      </c>
      <c r="G56" s="54" t="n">
        <f aca="false">F56*(1+$C$11)^-A56</f>
        <v>5.09585298240134</v>
      </c>
      <c r="H56" s="54" t="n">
        <f aca="false">D56*MAX(0,$C$9-A56)</f>
        <v>9.31759412246567</v>
      </c>
    </row>
    <row r="57" customFormat="false" ht="15" hidden="false" customHeight="false" outlineLevel="0" collapsed="false">
      <c r="A57" s="36" t="n">
        <v>25</v>
      </c>
      <c r="B57" s="54" t="n">
        <f aca="false">IF(A57&lt;$C$9,(1-(1+$C$10)^-($C$9-A57))/(1-(1+$C$10)^-$C$9),0)</f>
        <v>0.557216481248712</v>
      </c>
      <c r="C57" s="54"/>
      <c r="D57" s="54" t="n">
        <f aca="false">B57*(1+$C$11)^-A57</f>
        <v>0.368220225405256</v>
      </c>
      <c r="E57" s="54" t="n">
        <f aca="false">IF(A57&lt;$C$9-1,(1-(1+$C$10)^-($C$9-1-A57))/(1-(1+$C$10)^-($C$9-1)),0)*(1+$C$11)^-A57</f>
        <v>0.35983135323882</v>
      </c>
      <c r="F57" s="54" t="n">
        <f aca="false">B57+F58</f>
        <v>7.00682145017788</v>
      </c>
      <c r="G57" s="54" t="n">
        <f aca="false">F57*(1+$C$11)^-A57</f>
        <v>4.63025316117181</v>
      </c>
      <c r="H57" s="54" t="n">
        <f aca="false">D57*MAX(0,$C$9-A57)</f>
        <v>8.46906518432089</v>
      </c>
    </row>
    <row r="58" customFormat="false" ht="15" hidden="false" customHeight="false" outlineLevel="0" collapsed="false">
      <c r="A58" s="36" t="n">
        <v>26</v>
      </c>
      <c r="B58" s="54" t="n">
        <f aca="false">IF(A58&lt;$C$9,(1-(1+$C$10)^-($C$9-A58))/(1-(1+$C$10)^-$C$9),0)</f>
        <v>0.53631520997605</v>
      </c>
      <c r="C58" s="54"/>
      <c r="D58" s="54" t="n">
        <f aca="false">B58*(1+$C$11)^-A58</f>
        <v>0.348583757768189</v>
      </c>
      <c r="E58" s="54" t="n">
        <f aca="false">IF(A58&lt;$C$9-1,(1-(1+$C$10)^-($C$9-1-A58))/(1-(1+$C$10)^-($C$9-1)),0)*(1+$C$11)^-A58</f>
        <v>0.339943268663687</v>
      </c>
      <c r="F58" s="54" t="n">
        <f aca="false">B58+F59</f>
        <v>6.44960496892917</v>
      </c>
      <c r="G58" s="54" t="n">
        <f aca="false">F58*(1+$C$11)^-A58</f>
        <v>4.19198914065874</v>
      </c>
      <c r="H58" s="54" t="n">
        <f aca="false">D58*MAX(0,$C$9-A58)</f>
        <v>7.66884267090016</v>
      </c>
    </row>
    <row r="59" customFormat="false" ht="15" hidden="false" customHeight="false" outlineLevel="0" collapsed="false">
      <c r="A59" s="36" t="n">
        <v>27</v>
      </c>
      <c r="B59" s="54" t="n">
        <f aca="false">IF(A59&lt;$C$9,(1-(1+$C$10)^-($C$9-A59))/(1-(1+$C$10)^-$C$9),0)</f>
        <v>0.515138738631631</v>
      </c>
      <c r="C59" s="54"/>
      <c r="D59" s="54" t="n">
        <f aca="false">B59*(1+$C$11)^-A59</f>
        <v>0.329317334223907</v>
      </c>
      <c r="E59" s="54" t="n">
        <f aca="false">IF(A59&lt;$C$9-1,(1-(1+$C$10)^-($C$9-1-A59))/(1-(1+$C$10)^-($C$9-1)),0)*(1+$C$11)^-A59</f>
        <v>0.320430720334972</v>
      </c>
      <c r="F59" s="54" t="n">
        <f aca="false">B59+F60</f>
        <v>5.91328975895312</v>
      </c>
      <c r="G59" s="54" t="n">
        <f aca="false">F59*(1+$C$11)^-A59</f>
        <v>3.78024146482312</v>
      </c>
      <c r="H59" s="54" t="n">
        <f aca="false">D59*MAX(0,$C$9-A59)</f>
        <v>6.91566401870204</v>
      </c>
    </row>
    <row r="60" customFormat="false" ht="15" hidden="false" customHeight="false" outlineLevel="0" collapsed="false">
      <c r="A60" s="36" t="n">
        <v>28</v>
      </c>
      <c r="B60" s="54" t="n">
        <f aca="false">IF(A60&lt;$C$9,(1-(1+$C$10)^-($C$9-A60))/(1-(1+$C$10)^-$C$9),0)</f>
        <v>0.493683443747844</v>
      </c>
      <c r="C60" s="54"/>
      <c r="D60" s="54" t="n">
        <f aca="false">B60*(1+$C$11)^-A60</f>
        <v>0.310414708427587</v>
      </c>
      <c r="E60" s="54" t="n">
        <f aca="false">IF(A60&lt;$C$9-1,(1-(1+$C$10)^-($C$9-1-A60))/(1-(1+$C$10)^-($C$9-1)),0)*(1+$C$11)^-A60</f>
        <v>0.301287366919944</v>
      </c>
      <c r="F60" s="54" t="n">
        <f aca="false">B60+F61</f>
        <v>5.39815102032149</v>
      </c>
      <c r="G60" s="54" t="n">
        <f aca="false">F60*(1+$C$11)^-A60</f>
        <v>3.39421039178508</v>
      </c>
      <c r="H60" s="54" t="n">
        <f aca="false">D60*MAX(0,$C$9-A60)</f>
        <v>6.20829416855174</v>
      </c>
    </row>
    <row r="61" customFormat="false" ht="15" hidden="false" customHeight="false" outlineLevel="0" collapsed="false">
      <c r="A61" s="36" t="n">
        <v>29</v>
      </c>
      <c r="B61" s="54" t="n">
        <f aca="false">IF(A61&lt;$C$9,(1-(1+$C$10)^-($C$9-A61))/(1-(1+$C$10)^-$C$9),0)</f>
        <v>0.471945654148086</v>
      </c>
      <c r="C61" s="54"/>
      <c r="D61" s="54" t="n">
        <f aca="false">B61*(1+$C$11)^-A61</f>
        <v>0.291869737263648</v>
      </c>
      <c r="E61" s="54" t="n">
        <f aca="false">IF(A61&lt;$C$9-1,(1-(1+$C$10)^-($C$9-1-A61))/(1-(1+$C$10)^-($C$9-1)),0)*(1+$C$11)^-A61</f>
        <v>0.282506971892652</v>
      </c>
      <c r="F61" s="54" t="n">
        <f aca="false">B61+F62</f>
        <v>4.90446757657365</v>
      </c>
      <c r="G61" s="54" t="n">
        <f aca="false">F61*(1+$C$11)^-A61</f>
        <v>3.033115466603</v>
      </c>
      <c r="H61" s="54" t="n">
        <f aca="false">D61*MAX(0,$C$9-A61)</f>
        <v>5.54552500800931</v>
      </c>
    </row>
    <row r="62" customFormat="false" ht="15" hidden="false" customHeight="false" outlineLevel="0" collapsed="false">
      <c r="A62" s="36" t="n">
        <v>30</v>
      </c>
      <c r="B62" s="54" t="n">
        <f aca="false">IF(A62&lt;$C$9,(1-(1+$C$10)^-($C$9-A62))/(1-(1+$C$10)^-$C$9),0)</f>
        <v>0.449921650318599</v>
      </c>
      <c r="C62" s="54"/>
      <c r="D62" s="54" t="n">
        <f aca="false">B62*(1+$C$11)^-A62</f>
        <v>0.273676379147243</v>
      </c>
      <c r="E62" s="54" t="n">
        <f aca="false">IF(A62&lt;$C$9-1,(1-(1+$C$10)^-($C$9-1-A62))/(1-(1+$C$10)^-($C$9-1)),0)*(1+$C$11)^-A62</f>
        <v>0.264083401809434</v>
      </c>
      <c r="F62" s="54" t="n">
        <f aca="false">B62+F63</f>
        <v>4.43252192242556</v>
      </c>
      <c r="G62" s="54" t="n">
        <f aca="false">F62*(1+$C$11)^-A62</f>
        <v>2.69619510277222</v>
      </c>
      <c r="H62" s="54" t="n">
        <f aca="false">D62*MAX(0,$C$9-A62)</f>
        <v>4.92617482465037</v>
      </c>
    </row>
    <row r="63" customFormat="false" ht="15" hidden="false" customHeight="false" outlineLevel="0" collapsed="false">
      <c r="A63" s="36" t="n">
        <v>31</v>
      </c>
      <c r="B63" s="54" t="n">
        <f aca="false">IF(A63&lt;$C$9,(1-(1+$C$10)^-($C$9-A63))/(1-(1+$C$10)^-$C$9),0)</f>
        <v>0.427607663772023</v>
      </c>
      <c r="C63" s="54"/>
      <c r="D63" s="54" t="n">
        <f aca="false">B63*(1+$C$11)^-A63</f>
        <v>0.255828692353671</v>
      </c>
      <c r="E63" s="54" t="n">
        <f aca="false">IF(A63&lt;$C$9-1,(1-(1+$C$10)^-($C$9-1-A63))/(1-(1+$C$10)^-($C$9-1)),0)*(1+$C$11)^-A63</f>
        <v>0.246010624612774</v>
      </c>
      <c r="F63" s="54" t="n">
        <f aca="false">B63+F64</f>
        <v>3.98260027210696</v>
      </c>
      <c r="G63" s="54" t="n">
        <f aca="false">F63*(1+$C$11)^-A63</f>
        <v>2.38270617227221</v>
      </c>
      <c r="H63" s="54" t="n">
        <f aca="false">D63*MAX(0,$C$9-A63)</f>
        <v>4.34908777001241</v>
      </c>
    </row>
    <row r="64" customFormat="false" ht="15" hidden="false" customHeight="false" outlineLevel="0" collapsed="false">
      <c r="A64" s="36" t="n">
        <v>32</v>
      </c>
      <c r="B64" s="54" t="n">
        <f aca="false">IF(A64&lt;$C$9,(1-(1+$C$10)^-($C$9-A64))/(1-(1+$C$10)^-$C$9),0)</f>
        <v>0.404999876402585</v>
      </c>
      <c r="C64" s="54"/>
      <c r="D64" s="54" t="n">
        <f aca="false">B64*(1+$C$11)^-A64</f>
        <v>0.238320833375251</v>
      </c>
      <c r="E64" s="54" t="n">
        <f aca="false">IF(A64&lt;$C$9-1,(1-(1+$C$10)^-($C$9-1-A64))/(1-(1+$C$10)^-($C$9-1)),0)*(1+$C$11)^-A64</f>
        <v>0.228282707963037</v>
      </c>
      <c r="F64" s="54" t="n">
        <f aca="false">B64+F65</f>
        <v>3.55499260833494</v>
      </c>
      <c r="G64" s="54" t="n">
        <f aca="false">F64*(1+$C$11)^-A64</f>
        <v>2.09192360399405</v>
      </c>
      <c r="H64" s="54" t="n">
        <f aca="false">D64*MAX(0,$C$9-A64)</f>
        <v>3.81313333400402</v>
      </c>
    </row>
    <row r="65" customFormat="false" ht="15" hidden="false" customHeight="false" outlineLevel="0" collapsed="false">
      <c r="A65" s="36" t="n">
        <v>33</v>
      </c>
      <c r="B65" s="54" t="n">
        <f aca="false">IF(A65&lt;$C$9,(1-(1+$C$10)^-($C$9-A65))/(1-(1+$C$10)^-$C$9),0)</f>
        <v>0.382094419832782</v>
      </c>
      <c r="C65" s="54"/>
      <c r="D65" s="54" t="n">
        <f aca="false">B65*(1+$C$11)^-A65</f>
        <v>0.221147055305209</v>
      </c>
      <c r="E65" s="54" t="n">
        <f aca="false">IF(A65&lt;$C$9-1,(1-(1+$C$10)^-($C$9-1-A65))/(1-(1+$C$10)^-($C$9-1)),0)*(1+$C$11)^-A65</f>
        <v>0.210893817597635</v>
      </c>
      <c r="F65" s="54" t="n">
        <f aca="false">B65+F66</f>
        <v>3.14999273193235</v>
      </c>
      <c r="G65" s="54" t="n">
        <f aca="false">F65*(1+$C$11)^-A65</f>
        <v>1.82313999038382</v>
      </c>
      <c r="H65" s="54" t="n">
        <f aca="false">D65*MAX(0,$C$9-A65)</f>
        <v>3.31720582957813</v>
      </c>
    </row>
    <row r="66" customFormat="false" ht="15" hidden="false" customHeight="false" outlineLevel="0" collapsed="false">
      <c r="A66" s="36" t="n">
        <v>34</v>
      </c>
      <c r="B66" s="54" t="n">
        <f aca="false">IF(A66&lt;$C$9,(1-(1+$C$10)^-($C$9-A66))/(1-(1+$C$10)^-$C$9),0)</f>
        <v>0.358887374751476</v>
      </c>
      <c r="C66" s="54"/>
      <c r="D66" s="54" t="n">
        <f aca="false">B66*(1+$C$11)^-A66</f>
        <v>0.204301706248125</v>
      </c>
      <c r="E66" s="54" t="n">
        <f aca="false">IF(A66&lt;$C$9-1,(1-(1+$C$10)^-($C$9-1-A66))/(1-(1+$C$10)^-($C$9-1)),0)*(1+$C$11)^-A66</f>
        <v>0.193838215717162</v>
      </c>
      <c r="F66" s="54" t="n">
        <f aca="false">B66+F67</f>
        <v>2.76789831209957</v>
      </c>
      <c r="G66" s="54" t="n">
        <f aca="false">F66*(1+$C$11)^-A66</f>
        <v>1.57566520213991</v>
      </c>
      <c r="H66" s="54" t="n">
        <f aca="false">D66*MAX(0,$C$9-A66)</f>
        <v>2.86022388747375</v>
      </c>
    </row>
    <row r="67" customFormat="false" ht="15" hidden="false" customHeight="false" outlineLevel="0" collapsed="false">
      <c r="A67" s="36" t="n">
        <v>35</v>
      </c>
      <c r="B67" s="54" t="n">
        <f aca="false">IF(A67&lt;$C$9,(1-(1+$C$10)^-($C$9-A67))/(1-(1+$C$10)^-$C$9),0)</f>
        <v>0.335374770243267</v>
      </c>
      <c r="C67" s="54"/>
      <c r="D67" s="54" t="n">
        <f aca="false">B67*(1+$C$11)^-A67</f>
        <v>0.18777922775652</v>
      </c>
      <c r="E67" s="54" t="n">
        <f aca="false">IF(A67&lt;$C$9-1,(1-(1+$C$10)^-($C$9-1-A67))/(1-(1+$C$10)^-($C$9-1)),0)*(1+$C$11)^-A67</f>
        <v>0.177110259398058</v>
      </c>
      <c r="F67" s="54" t="n">
        <f aca="false">B67+F68</f>
        <v>2.40901093734809</v>
      </c>
      <c r="G67" s="54" t="n">
        <f aca="false">F67*(1+$C$11)^-A67</f>
        <v>1.34882601080609</v>
      </c>
      <c r="H67" s="54" t="n">
        <f aca="false">D67*MAX(0,$C$9-A67)</f>
        <v>2.44112996083476</v>
      </c>
    </row>
    <row r="68" customFormat="false" ht="15" hidden="false" customHeight="false" outlineLevel="0" collapsed="false">
      <c r="A68" s="36" t="n">
        <v>36</v>
      </c>
      <c r="B68" s="54" t="n">
        <f aca="false">IF(A68&lt;$C$9,(1-(1+$C$10)^-($C$9-A68))/(1-(1+$C$10)^-$C$9),0)</f>
        <v>0.311552583109032</v>
      </c>
      <c r="C68" s="54"/>
      <c r="D68" s="54" t="n">
        <f aca="false">B68*(1+$C$11)^-A68</f>
        <v>0.171574153293136</v>
      </c>
      <c r="E68" s="54" t="n">
        <f aca="false">IF(A68&lt;$C$9-1,(1-(1+$C$10)^-($C$9-1-A68))/(1-(1+$C$10)^-($C$9-1)),0)*(1+$C$11)^-A68</f>
        <v>0.160704399031369</v>
      </c>
      <c r="F68" s="54" t="n">
        <f aca="false">B68+F69</f>
        <v>2.07363616710483</v>
      </c>
      <c r="G68" s="54" t="n">
        <f aca="false">F68*(1+$C$11)^-A68</f>
        <v>1.1419657191047</v>
      </c>
      <c r="H68" s="54" t="n">
        <f aca="false">D68*MAX(0,$C$9-A68)</f>
        <v>2.05888983951763</v>
      </c>
    </row>
    <row r="69" customFormat="false" ht="15" hidden="false" customHeight="false" outlineLevel="0" collapsed="false">
      <c r="A69" s="36" t="n">
        <v>37</v>
      </c>
      <c r="B69" s="54" t="n">
        <f aca="false">IF(A69&lt;$C$9,(1-(1+$C$10)^-($C$9-A69))/(1-(1+$C$10)^-$C$9),0)</f>
        <v>0.287416737177531</v>
      </c>
      <c r="C69" s="54"/>
      <c r="D69" s="54" t="n">
        <f aca="false">B69*(1+$C$11)^-A69</f>
        <v>0.155681106718495</v>
      </c>
      <c r="E69" s="54" t="n">
        <f aca="false">IF(A69&lt;$C$9-1,(1-(1+$C$10)^-($C$9-1-A69))/(1-(1+$C$10)^-($C$9-1)),0)*(1+$C$11)^-A69</f>
        <v>0.144615176787174</v>
      </c>
      <c r="F69" s="54" t="n">
        <f aca="false">B69+F70</f>
        <v>1.7620835839958</v>
      </c>
      <c r="G69" s="54" t="n">
        <f aca="false">F69*(1+$C$11)^-A69</f>
        <v>0.954443798857526</v>
      </c>
      <c r="H69" s="54" t="n">
        <f aca="false">D69*MAX(0,$C$9-A69)</f>
        <v>1.71249217390344</v>
      </c>
    </row>
    <row r="70" customFormat="false" ht="15" hidden="false" customHeight="false" outlineLevel="0" collapsed="false">
      <c r="A70" s="36" t="n">
        <v>38</v>
      </c>
      <c r="B70" s="54" t="n">
        <f aca="false">IF(A70&lt;$C$9,(1-(1+$C$10)^-($C$9-A70))/(1-(1+$C$10)^-$C$9),0)</f>
        <v>0.262963102607931</v>
      </c>
      <c r="C70" s="54"/>
      <c r="D70" s="54" t="n">
        <f aca="false">B70*(1+$C$11)^-A70</f>
        <v>0.140094800803327</v>
      </c>
      <c r="E70" s="54" t="n">
        <f aca="false">IF(A70&lt;$C$9-1,(1-(1+$C$10)^-($C$9-1-A70))/(1-(1+$C$10)^-($C$9-1)),0)*(1+$C$11)^-A70</f>
        <v>0.128837225104247</v>
      </c>
      <c r="F70" s="54" t="n">
        <f aca="false">B70+F71</f>
        <v>1.47466684681826</v>
      </c>
      <c r="G70" s="54" t="n">
        <f aca="false">F70*(1+$C$11)^-A70</f>
        <v>0.7856355363448</v>
      </c>
      <c r="H70" s="54" t="n">
        <f aca="false">D70*MAX(0,$C$9-A70)</f>
        <v>1.40094800803327</v>
      </c>
    </row>
    <row r="71" customFormat="false" ht="15" hidden="false" customHeight="false" outlineLevel="0" collapsed="false">
      <c r="A71" s="36" t="n">
        <v>39</v>
      </c>
      <c r="B71" s="54" t="n">
        <f aca="false">IF(A71&lt;$C$9,(1-(1+$C$10)^-($C$9-A71))/(1-(1+$C$10)^-$C$9),0)</f>
        <v>0.238187495183165</v>
      </c>
      <c r="C71" s="54"/>
      <c r="D71" s="54" t="n">
        <f aca="false">B71*(1+$C$11)^-A71</f>
        <v>0.124810035765442</v>
      </c>
      <c r="E71" s="54" t="n">
        <f aca="false">IF(A71&lt;$C$9-1,(1-(1+$C$10)^-($C$9-1-A71))/(1-(1+$C$10)^-($C$9-1)),0)*(1+$C$11)^-A71</f>
        <v>0.11336526520456</v>
      </c>
      <c r="F71" s="54" t="n">
        <f aca="false">B71+F72</f>
        <v>1.21170374421033</v>
      </c>
      <c r="G71" s="54" t="n">
        <f aca="false">F71*(1+$C$11)^-A71</f>
        <v>0.634931684955645</v>
      </c>
      <c r="H71" s="54" t="n">
        <f aca="false">D71*MAX(0,$C$9-A71)</f>
        <v>1.12329032188898</v>
      </c>
    </row>
    <row r="72" customFormat="false" ht="15" hidden="false" customHeight="false" outlineLevel="0" collapsed="false">
      <c r="A72" s="36" t="n">
        <v>40</v>
      </c>
      <c r="B72" s="54" t="n">
        <f aca="false">IF(A72&lt;$C$9,(1-(1+$C$10)^-($C$9-A72))/(1-(1+$C$10)^-$C$9),0)</f>
        <v>0.213085675593973</v>
      </c>
      <c r="C72" s="54"/>
      <c r="D72" s="54" t="n">
        <f aca="false">B72*(1+$C$11)^-A72</f>
        <v>0.109821697830664</v>
      </c>
      <c r="E72" s="54" t="n">
        <f aca="false">IF(A72&lt;$C$9-1,(1-(1+$C$10)^-($C$9-1-A72))/(1-(1+$C$10)^-($C$9-1)),0)*(1+$C$11)^-A72</f>
        <v>0.0981941056321932</v>
      </c>
      <c r="F72" s="54" t="n">
        <f aca="false">B72+F73</f>
        <v>0.973516249027168</v>
      </c>
      <c r="G72" s="54" t="n">
        <f aca="false">F72*(1+$C$11)^-A72</f>
        <v>0.50173812498604</v>
      </c>
      <c r="H72" s="54" t="n">
        <f aca="false">D72*MAX(0,$C$9-A72)</f>
        <v>0.878573582645316</v>
      </c>
    </row>
    <row r="73" customFormat="false" ht="15" hidden="false" customHeight="false" outlineLevel="0" collapsed="false">
      <c r="A73" s="36" t="n">
        <v>41</v>
      </c>
      <c r="B73" s="54" t="n">
        <f aca="false">IF(A73&lt;$C$9,(1-(1+$C$10)^-($C$9-A73))/(1-(1+$C$10)^-$C$9),0)</f>
        <v>0.187653348713523</v>
      </c>
      <c r="C73" s="54"/>
      <c r="D73" s="54" t="n">
        <f aca="false">B73*(1+$C$11)^-A73</f>
        <v>0.0951247578174177</v>
      </c>
      <c r="E73" s="54" t="n">
        <f aca="false">IF(A73&lt;$C$9-1,(1-(1+$C$10)^-($C$9-1-A73))/(1-(1+$C$10)^-($C$9-1)),0)*(1+$C$11)^-A73</f>
        <v>0.0833186408162745</v>
      </c>
      <c r="F73" s="54" t="n">
        <f aca="false">B73+F74</f>
        <v>0.760430573433195</v>
      </c>
      <c r="G73" s="54" t="n">
        <f aca="false">F73*(1+$C$11)^-A73</f>
        <v>0.385475530443225</v>
      </c>
      <c r="H73" s="54" t="n">
        <f aca="false">D73*MAX(0,$C$9-A73)</f>
        <v>0.665873304721924</v>
      </c>
    </row>
    <row r="74" customFormat="false" ht="15" hidden="false" customHeight="false" outlineLevel="0" collapsed="false">
      <c r="A74" s="36" t="n">
        <v>42</v>
      </c>
      <c r="B74" s="54" t="n">
        <f aca="false">IF(A74&lt;$C$9,(1-(1+$C$10)^-($C$9-A74))/(1-(1+$C$10)^-$C$9),0)</f>
        <v>0.161886162862481</v>
      </c>
      <c r="C74" s="54"/>
      <c r="D74" s="54" t="n">
        <f aca="false">B74*(1+$C$11)^-A74</f>
        <v>0.0807142697445789</v>
      </c>
      <c r="E74" s="54" t="n">
        <f aca="false">IF(A74&lt;$C$9-1,(1-(1+$C$10)^-($C$9-1-A74))/(1-(1+$C$10)^-($C$9-1)),0)*(1+$C$11)^-A74</f>
        <v>0.0687338496575357</v>
      </c>
      <c r="F74" s="54" t="n">
        <f aca="false">B74+F75</f>
        <v>0.572777224719672</v>
      </c>
      <c r="G74" s="54" t="n">
        <f aca="false">F74*(1+$C$11)^-A74</f>
        <v>0.285579042718108</v>
      </c>
      <c r="H74" s="54" t="n">
        <f aca="false">D74*MAX(0,$C$9-A74)</f>
        <v>0.484285618467474</v>
      </c>
    </row>
    <row r="75" customFormat="false" ht="15" hidden="false" customHeight="false" outlineLevel="0" collapsed="false">
      <c r="A75" s="36" t="n">
        <v>43</v>
      </c>
      <c r="B75" s="54" t="n">
        <f aca="false">IF(A75&lt;$C$9,(1-(1+$C$10)^-($C$9-A75))/(1-(1+$C$10)^-$C$9),0)</f>
        <v>0.135779709064399</v>
      </c>
      <c r="C75" s="54"/>
      <c r="D75" s="54" t="n">
        <f aca="false">B75*(1+$C$11)^-A75</f>
        <v>0.0665853694622204</v>
      </c>
      <c r="E75" s="54" t="n">
        <f aca="false">IF(A75&lt;$C$9-1,(1-(1+$C$10)^-($C$9-1-A75))/(1-(1+$C$10)^-($C$9-1)),0)*(1+$C$11)^-A75</f>
        <v>0.0544347941381098</v>
      </c>
      <c r="F75" s="54" t="n">
        <f aca="false">B75+F76</f>
        <v>0.410891061857192</v>
      </c>
      <c r="G75" s="54" t="n">
        <f aca="false">F75*(1+$C$11)^-A75</f>
        <v>0.201497950989929</v>
      </c>
      <c r="H75" s="54" t="n">
        <f aca="false">D75*MAX(0,$C$9-A75)</f>
        <v>0.332926847311102</v>
      </c>
    </row>
    <row r="76" customFormat="false" ht="15" hidden="false" customHeight="false" outlineLevel="0" collapsed="false">
      <c r="A76" s="36" t="n">
        <v>44</v>
      </c>
      <c r="B76" s="54" t="n">
        <f aca="false">IF(A76&lt;$C$9,(1-(1+$C$10)^-($C$9-A76))/(1-(1+$C$10)^-$C$9),0)</f>
        <v>0.10932952029131</v>
      </c>
      <c r="C76" s="54"/>
      <c r="D76" s="54" t="n">
        <f aca="false">B76*(1+$C$11)^-A76</f>
        <v>0.0527332733048594</v>
      </c>
      <c r="E76" s="54" t="n">
        <f aca="false">IF(A76&lt;$C$9-1,(1-(1+$C$10)^-($C$9-1-A76))/(1-(1+$C$10)^-($C$9-1)),0)*(1+$C$11)^-A76</f>
        <v>0.0404166179541788</v>
      </c>
      <c r="F76" s="54" t="n">
        <f aca="false">B76+F77</f>
        <v>0.275111352792792</v>
      </c>
      <c r="G76" s="54" t="n">
        <f aca="false">F76*(1+$C$11)^-A76</f>
        <v>0.132695379230023</v>
      </c>
      <c r="H76" s="54" t="n">
        <f aca="false">D76*MAX(0,$C$9-A76)</f>
        <v>0.210933093219438</v>
      </c>
    </row>
    <row r="77" customFormat="false" ht="15" hidden="false" customHeight="false" outlineLevel="0" collapsed="false">
      <c r="A77" s="36" t="n">
        <v>45</v>
      </c>
      <c r="B77" s="54" t="n">
        <f aca="false">IF(A77&lt;$C$9,(1-(1+$C$10)^-($C$9-A77))/(1-(1+$C$10)^-$C$9),0)</f>
        <v>0.0825310706993753</v>
      </c>
      <c r="C77" s="54"/>
      <c r="D77" s="54" t="n">
        <f aca="false">B77*(1+$C$11)^-A77</f>
        <v>0.0391532767668478</v>
      </c>
      <c r="E77" s="54" t="n">
        <f aca="false">IF(A77&lt;$C$9-1,(1-(1+$C$10)^-($C$9-1-A77))/(1-(1+$C$10)^-($C$9-1)),0)*(1+$C$11)^-A77</f>
        <v>0.0266745451711023</v>
      </c>
      <c r="F77" s="54" t="n">
        <f aca="false">B77+F78</f>
        <v>0.165781832501482</v>
      </c>
      <c r="G77" s="54" t="n">
        <f aca="false">F77*(1+$C$11)^-A77</f>
        <v>0.0786479796740946</v>
      </c>
      <c r="H77" s="54" t="n">
        <f aca="false">D77*MAX(0,$C$9-A77)</f>
        <v>0.117459830300544</v>
      </c>
    </row>
    <row r="78" customFormat="false" ht="15" hidden="false" customHeight="false" outlineLevel="0" collapsed="false">
      <c r="A78" s="36" t="n">
        <v>46</v>
      </c>
      <c r="B78" s="54" t="n">
        <f aca="false">IF(A78&lt;$C$9,(1-(1+$C$10)^-($C$9-A78))/(1-(1+$C$10)^-$C$9),0)</f>
        <v>0.0553797748544799</v>
      </c>
      <c r="C78" s="54"/>
      <c r="D78" s="54" t="n">
        <f aca="false">B78*(1+$C$11)^-A78</f>
        <v>0.025840753199538</v>
      </c>
      <c r="E78" s="54" t="n">
        <f aca="false">IF(A78&lt;$C$9-1,(1-(1+$C$10)^-($C$9-1-A78))/(1-(1+$C$10)^-($C$9-1)),0)*(1+$C$11)^-A78</f>
        <v>0.0132038789006531</v>
      </c>
      <c r="F78" s="54" t="n">
        <f aca="false">B78+F79</f>
        <v>0.0832507618021066</v>
      </c>
      <c r="G78" s="54" t="n">
        <f aca="false">F78*(1+$C$11)^-A78</f>
        <v>0.038845632634921</v>
      </c>
      <c r="H78" s="54" t="n">
        <f aca="false">D78*MAX(0,$C$9-A78)</f>
        <v>0.0516815063990761</v>
      </c>
    </row>
    <row r="79" customFormat="false" ht="15" hidden="false" customHeight="false" outlineLevel="0" collapsed="false">
      <c r="A79" s="36" t="n">
        <v>47</v>
      </c>
      <c r="B79" s="54" t="n">
        <f aca="false">IF(A79&lt;$C$9,(1-(1+$C$10)^-($C$9-A79))/(1-(1+$C$10)^-$C$9),0)</f>
        <v>0.0278709869476267</v>
      </c>
      <c r="C79" s="54"/>
      <c r="D79" s="54" t="n">
        <f aca="false">B79*(1+$C$11)^-A79</f>
        <v>0.0127911525298658</v>
      </c>
      <c r="E79" s="54" t="n">
        <f aca="false">IF(A79&lt;$C$9-1,(1-(1+$C$10)^-($C$9-1-A79))/(1-(1+$C$10)^-($C$9-1)),0)*(1+$C$11)^-A79</f>
        <v>0</v>
      </c>
      <c r="F79" s="54" t="n">
        <f aca="false">B79+F80</f>
        <v>0.0278709869476267</v>
      </c>
      <c r="G79" s="54" t="n">
        <f aca="false">F79*(1+$C$11)^-A79</f>
        <v>0.0127911525298658</v>
      </c>
      <c r="H79" s="54" t="n">
        <f aca="false">D79*MAX(0,$C$9-A79)</f>
        <v>0.0127911525298658</v>
      </c>
    </row>
    <row r="80" customFormat="false" ht="15" hidden="false" customHeight="false" outlineLevel="0" collapsed="false">
      <c r="A80" s="36" t="n">
        <v>48</v>
      </c>
      <c r="B80" s="54" t="n">
        <f aca="false">IF(A80&lt;$C$9,(1-(1+$C$10)^-($C$9-A80))/(1-(1+$C$10)^-$C$9),0)</f>
        <v>0</v>
      </c>
      <c r="C80" s="54"/>
      <c r="D80" s="54" t="n">
        <f aca="false">B80*(1+$C$11)^-A80</f>
        <v>0</v>
      </c>
      <c r="E80" s="54" t="n">
        <f aca="false">IF(A80&lt;$C$9-1,(1-(1+$C$10)^-($C$9-1-A80))/(1-(1+$C$10)^-($C$9-1)),0)*(1+$C$11)^-A80</f>
        <v>0</v>
      </c>
      <c r="F80" s="54" t="n">
        <f aca="false">B80+F81</f>
        <v>0</v>
      </c>
      <c r="G80" s="54" t="n">
        <f aca="false">F80*(1+$C$11)^-A80</f>
        <v>0</v>
      </c>
      <c r="H80" s="54" t="n">
        <f aca="false">D80*MAX(0,$C$9-A80)</f>
        <v>0</v>
      </c>
    </row>
    <row r="81" customFormat="false" ht="15" hidden="false" customHeight="false" outlineLevel="0" collapsed="false">
      <c r="A81" s="36" t="n">
        <v>49</v>
      </c>
      <c r="B81" s="54" t="n">
        <f aca="false">IF(A81&lt;$C$9,(1-(1+$C$10)^-($C$9-A81))/(1-(1+$C$10)^-$C$9),0)</f>
        <v>0</v>
      </c>
      <c r="C81" s="54"/>
      <c r="D81" s="54" t="n">
        <f aca="false">B81*(1+$C$11)^-A81</f>
        <v>0</v>
      </c>
      <c r="E81" s="54" t="n">
        <f aca="false">IF(A81&lt;$C$9-1,(1-(1+$C$10)^-($C$9-1-A81))/(1-(1+$C$10)^-($C$9-1)),0)*(1+$C$11)^-A81</f>
        <v>0</v>
      </c>
      <c r="F81" s="54" t="n">
        <f aca="false">B81+F82</f>
        <v>0</v>
      </c>
      <c r="G81" s="54" t="n">
        <f aca="false">F81*(1+$C$11)^-A81</f>
        <v>0</v>
      </c>
      <c r="H81" s="54" t="n">
        <f aca="false">D81*MAX(0,$C$9-A81)</f>
        <v>0</v>
      </c>
    </row>
    <row r="82" customFormat="false" ht="15" hidden="false" customHeight="false" outlineLevel="0" collapsed="false">
      <c r="A82" s="36" t="n">
        <v>50</v>
      </c>
      <c r="B82" s="54" t="n">
        <f aca="false">IF(A82&lt;$C$9,(1-(1+$C$10)^-($C$9-A82))/(1-(1+$C$10)^-$C$9),0)</f>
        <v>0</v>
      </c>
      <c r="C82" s="54"/>
      <c r="D82" s="54" t="n">
        <f aca="false">B82*(1+$C$11)^-A82</f>
        <v>0</v>
      </c>
      <c r="E82" s="54" t="n">
        <f aca="false">IF(A82&lt;$C$9-1,(1-(1+$C$10)^-($C$9-1-A82))/(1-(1+$C$10)^-($C$9-1)),0)*(1+$C$11)^-A82</f>
        <v>0</v>
      </c>
      <c r="F82" s="54" t="n">
        <f aca="false">B82+F83</f>
        <v>0</v>
      </c>
      <c r="G82" s="54" t="n">
        <f aca="false">F82*(1+$C$11)^-A82</f>
        <v>0</v>
      </c>
      <c r="H82" s="54" t="n">
        <f aca="false">D82*MAX(0,$C$9-A82)</f>
        <v>0</v>
      </c>
    </row>
    <row r="83" customFormat="false" ht="15" hidden="false" customHeight="false" outlineLevel="0" collapsed="false">
      <c r="A83" s="36" t="n">
        <v>51</v>
      </c>
      <c r="B83" s="54" t="n">
        <f aca="false">IF(A83&lt;$C$9,(1-(1+$C$10)^-($C$9-A83))/(1-(1+$C$10)^-$C$9),0)</f>
        <v>0</v>
      </c>
      <c r="C83" s="54"/>
      <c r="D83" s="54" t="n">
        <f aca="false">B83*(1+$C$11)^-A83</f>
        <v>0</v>
      </c>
      <c r="E83" s="54" t="n">
        <f aca="false">IF(A83&lt;$C$9-1,(1-(1+$C$10)^-($C$9-1-A83))/(1-(1+$C$10)^-($C$9-1)),0)*(1+$C$11)^-A83</f>
        <v>0</v>
      </c>
      <c r="F83" s="54" t="n">
        <f aca="false">B83+F84</f>
        <v>0</v>
      </c>
      <c r="G83" s="54" t="n">
        <f aca="false">F83*(1+$C$11)^-A83</f>
        <v>0</v>
      </c>
      <c r="H83" s="54" t="n">
        <f aca="false">D83*MAX(0,$C$9-A83)</f>
        <v>0</v>
      </c>
    </row>
    <row r="84" customFormat="false" ht="15" hidden="false" customHeight="false" outlineLevel="0" collapsed="false">
      <c r="A84" s="36" t="n">
        <v>52</v>
      </c>
      <c r="B84" s="54" t="n">
        <f aca="false">IF(A84&lt;$C$9,(1-(1+$C$10)^-($C$9-A84))/(1-(1+$C$10)^-$C$9),0)</f>
        <v>0</v>
      </c>
      <c r="C84" s="54"/>
      <c r="D84" s="54" t="n">
        <f aca="false">B84*(1+$C$11)^-A84</f>
        <v>0</v>
      </c>
      <c r="E84" s="54" t="n">
        <f aca="false">IF(A84&lt;$C$9-1,(1-(1+$C$10)^-($C$9-1-A84))/(1-(1+$C$10)^-($C$9-1)),0)*(1+$C$11)^-A84</f>
        <v>0</v>
      </c>
      <c r="F84" s="54" t="n">
        <f aca="false">B84+F85</f>
        <v>0</v>
      </c>
      <c r="G84" s="54" t="n">
        <f aca="false">F84*(1+$C$11)^-A84</f>
        <v>0</v>
      </c>
      <c r="H84" s="54" t="n">
        <f aca="false">D84*MAX(0,$C$9-A84)</f>
        <v>0</v>
      </c>
    </row>
    <row r="85" customFormat="false" ht="15" hidden="false" customHeight="false" outlineLevel="0" collapsed="false">
      <c r="A85" s="36" t="n">
        <v>53</v>
      </c>
      <c r="B85" s="54" t="n">
        <f aca="false">IF(A85&lt;$C$9,(1-(1+$C$10)^-($C$9-A85))/(1-(1+$C$10)^-$C$9),0)</f>
        <v>0</v>
      </c>
      <c r="C85" s="54"/>
      <c r="D85" s="54" t="n">
        <f aca="false">B85*(1+$C$11)^-A85</f>
        <v>0</v>
      </c>
      <c r="E85" s="54" t="n">
        <f aca="false">IF(A85&lt;$C$9-1,(1-(1+$C$10)^-($C$9-1-A85))/(1-(1+$C$10)^-($C$9-1)),0)*(1+$C$11)^-A85</f>
        <v>0</v>
      </c>
      <c r="F85" s="54" t="n">
        <f aca="false">B85+F86</f>
        <v>0</v>
      </c>
      <c r="G85" s="54" t="n">
        <f aca="false">F85*(1+$C$11)^-A85</f>
        <v>0</v>
      </c>
      <c r="H85" s="54" t="n">
        <f aca="false">D85*MAX(0,$C$9-A85)</f>
        <v>0</v>
      </c>
    </row>
    <row r="86" customFormat="false" ht="15" hidden="false" customHeight="false" outlineLevel="0" collapsed="false">
      <c r="A86" s="36" t="n">
        <v>54</v>
      </c>
      <c r="B86" s="54" t="n">
        <f aca="false">IF(A86&lt;$C$9,(1-(1+$C$10)^-($C$9-A86))/(1-(1+$C$10)^-$C$9),0)</f>
        <v>0</v>
      </c>
      <c r="C86" s="54"/>
      <c r="D86" s="54" t="n">
        <f aca="false">B86*(1+$C$11)^-A86</f>
        <v>0</v>
      </c>
      <c r="E86" s="54" t="n">
        <f aca="false">IF(A86&lt;$C$9-1,(1-(1+$C$10)^-($C$9-1-A86))/(1-(1+$C$10)^-($C$9-1)),0)*(1+$C$11)^-A86</f>
        <v>0</v>
      </c>
      <c r="F86" s="54" t="n">
        <f aca="false">B86+F87</f>
        <v>0</v>
      </c>
      <c r="G86" s="54" t="n">
        <f aca="false">F86*(1+$C$11)^-A86</f>
        <v>0</v>
      </c>
      <c r="H86" s="54" t="n">
        <f aca="false">D86*MAX(0,$C$9-A86)</f>
        <v>0</v>
      </c>
    </row>
    <row r="87" customFormat="false" ht="15" hidden="false" customHeight="false" outlineLevel="0" collapsed="false">
      <c r="A87" s="36" t="n">
        <v>55</v>
      </c>
      <c r="B87" s="54" t="n">
        <f aca="false">IF(A87&lt;$C$9,(1-(1+$C$10)^-($C$9-A87))/(1-(1+$C$10)^-$C$9),0)</f>
        <v>0</v>
      </c>
      <c r="C87" s="54"/>
      <c r="D87" s="54" t="n">
        <f aca="false">B87*(1+$C$11)^-A87</f>
        <v>0</v>
      </c>
      <c r="E87" s="54" t="n">
        <f aca="false">IF(A87&lt;$C$9-1,(1-(1+$C$10)^-($C$9-1-A87))/(1-(1+$C$10)^-($C$9-1)),0)*(1+$C$11)^-A87</f>
        <v>0</v>
      </c>
      <c r="F87" s="54" t="n">
        <f aca="false">B87+F88</f>
        <v>0</v>
      </c>
      <c r="G87" s="54" t="n">
        <f aca="false">F87*(1+$C$11)^-A87</f>
        <v>0</v>
      </c>
      <c r="H87" s="54" t="n">
        <f aca="false">D87*MAX(0,$C$9-A87)</f>
        <v>0</v>
      </c>
    </row>
    <row r="88" customFormat="false" ht="15" hidden="false" customHeight="false" outlineLevel="0" collapsed="false">
      <c r="A88" s="36" t="n">
        <v>56</v>
      </c>
      <c r="B88" s="54" t="n">
        <f aca="false">IF(A88&lt;$C$9,(1-(1+$C$10)^-($C$9-A88))/(1-(1+$C$10)^-$C$9),0)</f>
        <v>0</v>
      </c>
      <c r="C88" s="54"/>
      <c r="D88" s="54" t="n">
        <f aca="false">B88*(1+$C$11)^-A88</f>
        <v>0</v>
      </c>
      <c r="E88" s="54" t="n">
        <f aca="false">IF(A88&lt;$C$9-1,(1-(1+$C$10)^-($C$9-1-A88))/(1-(1+$C$10)^-($C$9-1)),0)*(1+$C$11)^-A88</f>
        <v>0</v>
      </c>
      <c r="F88" s="54" t="n">
        <f aca="false">B88+F89</f>
        <v>0</v>
      </c>
      <c r="G88" s="54" t="n">
        <f aca="false">F88*(1+$C$11)^-A88</f>
        <v>0</v>
      </c>
      <c r="H88" s="54" t="n">
        <f aca="false">D88*MAX(0,$C$9-A88)</f>
        <v>0</v>
      </c>
    </row>
    <row r="89" customFormat="false" ht="15" hidden="false" customHeight="false" outlineLevel="0" collapsed="false">
      <c r="A89" s="36" t="n">
        <v>57</v>
      </c>
      <c r="B89" s="54" t="n">
        <f aca="false">IF(A89&lt;$C$9,(1-(1+$C$10)^-($C$9-A89))/(1-(1+$C$10)^-$C$9),0)</f>
        <v>0</v>
      </c>
      <c r="C89" s="54"/>
      <c r="D89" s="54" t="n">
        <f aca="false">B89*(1+$C$11)^-A89</f>
        <v>0</v>
      </c>
      <c r="E89" s="54" t="n">
        <f aca="false">IF(A89&lt;$C$9-1,(1-(1+$C$10)^-($C$9-1-A89))/(1-(1+$C$10)^-($C$9-1)),0)*(1+$C$11)^-A89</f>
        <v>0</v>
      </c>
      <c r="F89" s="54" t="n">
        <f aca="false">B89+F90</f>
        <v>0</v>
      </c>
      <c r="G89" s="54" t="n">
        <f aca="false">F89*(1+$C$11)^-A89</f>
        <v>0</v>
      </c>
      <c r="H89" s="54" t="n">
        <f aca="false">D89*MAX(0,$C$9-A89)</f>
        <v>0</v>
      </c>
    </row>
    <row r="90" customFormat="false" ht="15" hidden="false" customHeight="false" outlineLevel="0" collapsed="false">
      <c r="A90" s="36" t="n">
        <v>58</v>
      </c>
      <c r="B90" s="54" t="n">
        <f aca="false">IF(A90&lt;$C$9,(1-(1+$C$10)^-($C$9-A90))/(1-(1+$C$10)^-$C$9),0)</f>
        <v>0</v>
      </c>
      <c r="C90" s="54"/>
      <c r="D90" s="54" t="n">
        <f aca="false">B90*(1+$C$11)^-A90</f>
        <v>0</v>
      </c>
      <c r="E90" s="54" t="n">
        <f aca="false">IF(A90&lt;$C$9-1,(1-(1+$C$10)^-($C$9-1-A90))/(1-(1+$C$10)^-($C$9-1)),0)*(1+$C$11)^-A90</f>
        <v>0</v>
      </c>
      <c r="F90" s="54" t="n">
        <f aca="false">B90+F91</f>
        <v>0</v>
      </c>
      <c r="G90" s="54" t="n">
        <f aca="false">F90*(1+$C$11)^-A90</f>
        <v>0</v>
      </c>
      <c r="H90" s="54" t="n">
        <f aca="false">D90*MAX(0,$C$9-A90)</f>
        <v>0</v>
      </c>
    </row>
    <row r="91" customFormat="false" ht="15" hidden="false" customHeight="false" outlineLevel="0" collapsed="false">
      <c r="A91" s="36" t="n">
        <v>59</v>
      </c>
      <c r="B91" s="54" t="n">
        <f aca="false">IF(A91&lt;$C$9,(1-(1+$C$10)^-($C$9-A91))/(1-(1+$C$10)^-$C$9),0)</f>
        <v>0</v>
      </c>
      <c r="C91" s="54"/>
      <c r="D91" s="54" t="n">
        <f aca="false">B91*(1+$C$11)^-A91</f>
        <v>0</v>
      </c>
      <c r="E91" s="54" t="n">
        <f aca="false">IF(A91&lt;$C$9-1,(1-(1+$C$10)^-($C$9-1-A91))/(1-(1+$C$10)^-($C$9-1)),0)*(1+$C$11)^-A91</f>
        <v>0</v>
      </c>
      <c r="F91" s="54" t="n">
        <f aca="false">B91+F92</f>
        <v>0</v>
      </c>
      <c r="G91" s="54" t="n">
        <f aca="false">F91*(1+$C$11)^-A91</f>
        <v>0</v>
      </c>
      <c r="H91" s="54" t="n">
        <f aca="false">D91*MAX(0,$C$9-A91)</f>
        <v>0</v>
      </c>
    </row>
    <row r="92" customFormat="false" ht="15" hidden="false" customHeight="false" outlineLevel="0" collapsed="false">
      <c r="A92" s="36" t="n">
        <v>60</v>
      </c>
      <c r="B92" s="54" t="n">
        <f aca="false">IF(A92&lt;$C$9,(1-(1+$C$10)^-($C$9-A92))/(1-(1+$C$10)^-$C$9),0)</f>
        <v>0</v>
      </c>
      <c r="C92" s="54"/>
      <c r="D92" s="54" t="n">
        <f aca="false">B92*(1+$C$11)^-A92</f>
        <v>0</v>
      </c>
      <c r="E92" s="54" t="n">
        <f aca="false">IF(A92&lt;$C$9-1,(1-(1+$C$10)^-($C$9-1-A92))/(1-(1+$C$10)^-($C$9-1)),0)*(1+$C$11)^-A92</f>
        <v>0</v>
      </c>
      <c r="F92" s="54" t="n">
        <f aca="false">B92+F93</f>
        <v>0</v>
      </c>
      <c r="G92" s="54" t="n">
        <f aca="false">F92*(1+$C$11)^-A92</f>
        <v>0</v>
      </c>
      <c r="H92" s="54" t="n">
        <f aca="false">D92*MAX(0,$C$9-A92)</f>
        <v>0</v>
      </c>
    </row>
    <row r="93" customFormat="false" ht="15" hidden="false" customHeight="false" outlineLevel="0" collapsed="false">
      <c r="A93" s="36" t="n">
        <v>61</v>
      </c>
      <c r="B93" s="54" t="n">
        <f aca="false">IF(A93&lt;$C$9,(1-(1+$C$10)^-($C$9-A93))/(1-(1+$C$10)^-$C$9),0)</f>
        <v>0</v>
      </c>
      <c r="C93" s="54"/>
      <c r="D93" s="54" t="n">
        <f aca="false">B93*(1+$C$11)^-A93</f>
        <v>0</v>
      </c>
      <c r="E93" s="54" t="n">
        <f aca="false">IF(A93&lt;$C$9-1,(1-(1+$C$10)^-($C$9-1-A93))/(1-(1+$C$10)^-($C$9-1)),0)*(1+$C$11)^-A93</f>
        <v>0</v>
      </c>
      <c r="F93" s="54" t="n">
        <f aca="false">B93+F94</f>
        <v>0</v>
      </c>
      <c r="G93" s="54" t="n">
        <f aca="false">F93*(1+$C$11)^-A93</f>
        <v>0</v>
      </c>
      <c r="H93" s="54" t="n">
        <f aca="false">D93*MAX(0,$C$9-A93)</f>
        <v>0</v>
      </c>
    </row>
    <row r="94" customFormat="false" ht="15" hidden="false" customHeight="false" outlineLevel="0" collapsed="false">
      <c r="A94" s="36" t="n">
        <v>62</v>
      </c>
      <c r="B94" s="54" t="n">
        <f aca="false">IF(A94&lt;$C$9,(1-(1+$C$10)^-($C$9-A94))/(1-(1+$C$10)^-$C$9),0)</f>
        <v>0</v>
      </c>
      <c r="C94" s="54"/>
      <c r="D94" s="54" t="n">
        <f aca="false">B94*(1+$C$11)^-A94</f>
        <v>0</v>
      </c>
      <c r="E94" s="54" t="n">
        <f aca="false">IF(A94&lt;$C$9-1,(1-(1+$C$10)^-($C$9-1-A94))/(1-(1+$C$10)^-($C$9-1)),0)*(1+$C$11)^-A94</f>
        <v>0</v>
      </c>
      <c r="F94" s="54" t="n">
        <f aca="false">B94+F95</f>
        <v>0</v>
      </c>
      <c r="G94" s="54" t="n">
        <f aca="false">F94*(1+$C$11)^-A94</f>
        <v>0</v>
      </c>
      <c r="H94" s="54" t="n">
        <f aca="false">D94*MAX(0,$C$9-A94)</f>
        <v>0</v>
      </c>
    </row>
    <row r="95" customFormat="false" ht="15" hidden="false" customHeight="false" outlineLevel="0" collapsed="false">
      <c r="A95" s="36" t="n">
        <v>63</v>
      </c>
      <c r="B95" s="54" t="n">
        <f aca="false">IF(A95&lt;$C$9,(1-(1+$C$10)^-($C$9-A95))/(1-(1+$C$10)^-$C$9),0)</f>
        <v>0</v>
      </c>
      <c r="C95" s="54"/>
      <c r="D95" s="54" t="n">
        <f aca="false">B95*(1+$C$11)^-A95</f>
        <v>0</v>
      </c>
      <c r="E95" s="54" t="n">
        <f aca="false">IF(A95&lt;$C$9-1,(1-(1+$C$10)^-($C$9-1-A95))/(1-(1+$C$10)^-($C$9-1)),0)*(1+$C$11)^-A95</f>
        <v>0</v>
      </c>
      <c r="F95" s="54" t="n">
        <f aca="false">B95+F96</f>
        <v>0</v>
      </c>
      <c r="G95" s="54" t="n">
        <f aca="false">F95*(1+$C$11)^-A95</f>
        <v>0</v>
      </c>
      <c r="H95" s="54" t="n">
        <f aca="false">D95*MAX(0,$C$9-A95)</f>
        <v>0</v>
      </c>
    </row>
    <row r="96" customFormat="false" ht="15" hidden="false" customHeight="false" outlineLevel="0" collapsed="false">
      <c r="A96" s="36" t="n">
        <v>64</v>
      </c>
      <c r="B96" s="54" t="n">
        <f aca="false">IF(A96&lt;$C$9,(1-(1+$C$10)^-($C$9-A96))/(1-(1+$C$10)^-$C$9),0)</f>
        <v>0</v>
      </c>
      <c r="C96" s="54"/>
      <c r="D96" s="54" t="n">
        <f aca="false">B96*(1+$C$11)^-A96</f>
        <v>0</v>
      </c>
      <c r="E96" s="54" t="n">
        <f aca="false">IF(A96&lt;$C$9-1,(1-(1+$C$10)^-($C$9-1-A96))/(1-(1+$C$10)^-($C$9-1)),0)*(1+$C$11)^-A96</f>
        <v>0</v>
      </c>
      <c r="F96" s="54" t="n">
        <f aca="false">B96+F97</f>
        <v>0</v>
      </c>
      <c r="G96" s="54" t="n">
        <f aca="false">F96*(1+$C$11)^-A96</f>
        <v>0</v>
      </c>
      <c r="H96" s="54" t="n">
        <f aca="false">D96*MAX(0,$C$9-A96)</f>
        <v>0</v>
      </c>
    </row>
    <row r="97" customFormat="false" ht="15" hidden="false" customHeight="false" outlineLevel="0" collapsed="false">
      <c r="A97" s="36" t="n">
        <v>65</v>
      </c>
      <c r="B97" s="54" t="n">
        <f aca="false">IF(A97&lt;$C$9,(1-(1+$C$10)^-($C$9-A97))/(1-(1+$C$10)^-$C$9),0)</f>
        <v>0</v>
      </c>
      <c r="C97" s="54"/>
      <c r="D97" s="54" t="n">
        <f aca="false">B97*(1+$C$11)^-A97</f>
        <v>0</v>
      </c>
      <c r="E97" s="54" t="n">
        <f aca="false">IF(A97&lt;$C$9-1,(1-(1+$C$10)^-($C$9-1-A97))/(1-(1+$C$10)^-($C$9-1)),0)*(1+$C$11)^-A97</f>
        <v>0</v>
      </c>
      <c r="F97" s="54" t="n">
        <f aca="false">B97+F98</f>
        <v>0</v>
      </c>
      <c r="G97" s="54" t="n">
        <f aca="false">F97*(1+$C$11)^-A97</f>
        <v>0</v>
      </c>
      <c r="H97" s="54" t="n">
        <f aca="false">D97*MAX(0,$C$9-A97)</f>
        <v>0</v>
      </c>
    </row>
    <row r="98" customFormat="false" ht="15" hidden="false" customHeight="false" outlineLevel="0" collapsed="false">
      <c r="A98" s="36" t="n">
        <v>66</v>
      </c>
      <c r="B98" s="54" t="n">
        <f aca="false">IF(A98&lt;$C$9,(1-(1+$C$10)^-($C$9-A98))/(1-(1+$C$10)^-$C$9),0)</f>
        <v>0</v>
      </c>
      <c r="C98" s="54"/>
      <c r="D98" s="54" t="n">
        <f aca="false">B98*(1+$C$11)^-A98</f>
        <v>0</v>
      </c>
      <c r="E98" s="54" t="n">
        <f aca="false">IF(A98&lt;$C$9-1,(1-(1+$C$10)^-($C$9-1-A98))/(1-(1+$C$10)^-($C$9-1)),0)*(1+$C$11)^-A98</f>
        <v>0</v>
      </c>
      <c r="F98" s="54" t="n">
        <f aca="false">B98+F99</f>
        <v>0</v>
      </c>
      <c r="G98" s="54" t="n">
        <f aca="false">F98*(1+$C$11)^-A98</f>
        <v>0</v>
      </c>
      <c r="H98" s="54" t="n">
        <f aca="false">D98*MAX(0,$C$9-A98)</f>
        <v>0</v>
      </c>
    </row>
    <row r="99" customFormat="false" ht="15" hidden="false" customHeight="false" outlineLevel="0" collapsed="false">
      <c r="A99" s="36" t="n">
        <v>67</v>
      </c>
      <c r="B99" s="54" t="n">
        <f aca="false">IF(A99&lt;$C$9,(1-(1+$C$10)^-($C$9-A99))/(1-(1+$C$10)^-$C$9),0)</f>
        <v>0</v>
      </c>
      <c r="C99" s="54"/>
      <c r="D99" s="54" t="n">
        <f aca="false">B99*(1+$C$11)^-A99</f>
        <v>0</v>
      </c>
      <c r="E99" s="54" t="n">
        <f aca="false">IF(A99&lt;$C$9-1,(1-(1+$C$10)^-($C$9-1-A99))/(1-(1+$C$10)^-($C$9-1)),0)*(1+$C$11)^-A99</f>
        <v>0</v>
      </c>
      <c r="F99" s="54" t="n">
        <f aca="false">B99+F100</f>
        <v>0</v>
      </c>
      <c r="G99" s="54" t="n">
        <f aca="false">F99*(1+$C$11)^-A99</f>
        <v>0</v>
      </c>
      <c r="H99" s="54" t="n">
        <f aca="false">D99*MAX(0,$C$9-A99)</f>
        <v>0</v>
      </c>
    </row>
    <row r="100" customFormat="false" ht="15" hidden="false" customHeight="false" outlineLevel="0" collapsed="false">
      <c r="A100" s="36" t="n">
        <v>68</v>
      </c>
      <c r="B100" s="54" t="n">
        <f aca="false">IF(A100&lt;$C$9,(1-(1+$C$10)^-($C$9-A100))/(1-(1+$C$10)^-$C$9),0)</f>
        <v>0</v>
      </c>
      <c r="C100" s="54"/>
      <c r="D100" s="54" t="n">
        <f aca="false">B100*(1+$C$11)^-A100</f>
        <v>0</v>
      </c>
      <c r="E100" s="54" t="n">
        <f aca="false">IF(A100&lt;$C$9-1,(1-(1+$C$10)^-($C$9-1-A100))/(1-(1+$C$10)^-($C$9-1)),0)*(1+$C$11)^-A100</f>
        <v>0</v>
      </c>
      <c r="F100" s="54" t="n">
        <f aca="false">B100+F101</f>
        <v>0</v>
      </c>
      <c r="G100" s="54" t="n">
        <f aca="false">F100*(1+$C$11)^-A100</f>
        <v>0</v>
      </c>
      <c r="H100" s="54" t="n">
        <f aca="false">D100*MAX(0,$C$9-A100)</f>
        <v>0</v>
      </c>
    </row>
    <row r="101" customFormat="false" ht="15" hidden="false" customHeight="false" outlineLevel="0" collapsed="false">
      <c r="A101" s="36" t="n">
        <v>69</v>
      </c>
      <c r="B101" s="54" t="n">
        <f aca="false">IF(A101&lt;$C$9,(1-(1+$C$10)^-($C$9-A101))/(1-(1+$C$10)^-$C$9),0)</f>
        <v>0</v>
      </c>
      <c r="C101" s="54"/>
      <c r="D101" s="54" t="n">
        <f aca="false">B101*(1+$C$11)^-A101</f>
        <v>0</v>
      </c>
      <c r="E101" s="54" t="n">
        <f aca="false">IF(A101&lt;$C$9-1,(1-(1+$C$10)^-($C$9-1-A101))/(1-(1+$C$10)^-($C$9-1)),0)*(1+$C$11)^-A101</f>
        <v>0</v>
      </c>
      <c r="F101" s="54" t="n">
        <f aca="false">B101+F102</f>
        <v>0</v>
      </c>
      <c r="G101" s="54" t="n">
        <f aca="false">F101*(1+$C$11)^-A101</f>
        <v>0</v>
      </c>
      <c r="H101" s="54" t="n">
        <f aca="false">D101*MAX(0,$C$9-A101)</f>
        <v>0</v>
      </c>
    </row>
    <row r="102" customFormat="false" ht="15" hidden="false" customHeight="false" outlineLevel="0" collapsed="false">
      <c r="A102" s="36" t="n">
        <v>70</v>
      </c>
      <c r="B102" s="54" t="n">
        <f aca="false">IF(A102&lt;$C$9,(1-(1+$C$10)^-($C$9-A102))/(1-(1+$C$10)^-$C$9),0)</f>
        <v>0</v>
      </c>
      <c r="C102" s="54"/>
      <c r="D102" s="54" t="n">
        <f aca="false">B102*(1+$C$11)^-A102</f>
        <v>0</v>
      </c>
      <c r="E102" s="54" t="n">
        <f aca="false">IF(A102&lt;$C$9-1,(1-(1+$C$10)^-($C$9-1-A102))/(1-(1+$C$10)^-($C$9-1)),0)*(1+$C$11)^-A102</f>
        <v>0</v>
      </c>
      <c r="F102" s="54" t="n">
        <f aca="false">B102+F103</f>
        <v>0</v>
      </c>
      <c r="G102" s="54" t="n">
        <f aca="false">F102*(1+$C$11)^-A102</f>
        <v>0</v>
      </c>
      <c r="H102" s="54" t="n">
        <f aca="false">D102*MAX(0,$C$9-A102)</f>
        <v>0</v>
      </c>
    </row>
    <row r="103" customFormat="false" ht="15" hidden="false" customHeight="false" outlineLevel="0" collapsed="false">
      <c r="A103" s="36" t="n">
        <v>71</v>
      </c>
      <c r="B103" s="54" t="n">
        <f aca="false">IF(A103&lt;$C$9,(1-(1+$C$10)^-($C$9-A103))/(1-(1+$C$10)^-$C$9),0)</f>
        <v>0</v>
      </c>
      <c r="C103" s="54"/>
      <c r="D103" s="54" t="n">
        <f aca="false">B103*(1+$C$11)^-A103</f>
        <v>0</v>
      </c>
      <c r="E103" s="54" t="n">
        <f aca="false">IF(A103&lt;$C$9-1,(1-(1+$C$10)^-($C$9-1-A103))/(1-(1+$C$10)^-($C$9-1)),0)*(1+$C$11)^-A103</f>
        <v>0</v>
      </c>
      <c r="F103" s="54" t="n">
        <f aca="false">B103+F104</f>
        <v>0</v>
      </c>
      <c r="G103" s="54" t="n">
        <f aca="false">F103*(1+$C$11)^-A103</f>
        <v>0</v>
      </c>
      <c r="H103" s="54" t="n">
        <f aca="false">D103*MAX(0,$C$9-A103)</f>
        <v>0</v>
      </c>
    </row>
    <row r="104" customFormat="false" ht="15" hidden="false" customHeight="false" outlineLevel="0" collapsed="false">
      <c r="A104" s="36" t="n">
        <v>72</v>
      </c>
      <c r="B104" s="54" t="n">
        <f aca="false">IF(A104&lt;$C$9,(1-(1+$C$10)^-($C$9-A104))/(1-(1+$C$10)^-$C$9),0)</f>
        <v>0</v>
      </c>
      <c r="C104" s="54"/>
      <c r="D104" s="54" t="n">
        <f aca="false">B104*(1+$C$11)^-A104</f>
        <v>0</v>
      </c>
      <c r="E104" s="54" t="n">
        <f aca="false">IF(A104&lt;$C$9-1,(1-(1+$C$10)^-($C$9-1-A104))/(1-(1+$C$10)^-($C$9-1)),0)*(1+$C$11)^-A104</f>
        <v>0</v>
      </c>
      <c r="F104" s="54" t="n">
        <f aca="false">B104+F105</f>
        <v>0</v>
      </c>
      <c r="G104" s="54" t="n">
        <f aca="false">F104*(1+$C$11)^-A104</f>
        <v>0</v>
      </c>
      <c r="H104" s="54" t="n">
        <f aca="false">D104*MAX(0,$C$9-A104)</f>
        <v>0</v>
      </c>
    </row>
    <row r="105" customFormat="false" ht="15" hidden="false" customHeight="false" outlineLevel="0" collapsed="false">
      <c r="A105" s="36" t="n">
        <v>73</v>
      </c>
      <c r="B105" s="54" t="n">
        <f aca="false">IF(A105&lt;$C$9,(1-(1+$C$10)^-($C$9-A105))/(1-(1+$C$10)^-$C$9),0)</f>
        <v>0</v>
      </c>
      <c r="C105" s="54"/>
      <c r="D105" s="54" t="n">
        <f aca="false">B105*(1+$C$11)^-A105</f>
        <v>0</v>
      </c>
      <c r="E105" s="54" t="n">
        <f aca="false">IF(A105&lt;$C$9-1,(1-(1+$C$10)^-($C$9-1-A105))/(1-(1+$C$10)^-($C$9-1)),0)*(1+$C$11)^-A105</f>
        <v>0</v>
      </c>
      <c r="F105" s="54" t="n">
        <f aca="false">B105+F106</f>
        <v>0</v>
      </c>
      <c r="G105" s="54" t="n">
        <f aca="false">F105*(1+$C$11)^-A105</f>
        <v>0</v>
      </c>
      <c r="H105" s="54" t="n">
        <f aca="false">D105*MAX(0,$C$9-A105)</f>
        <v>0</v>
      </c>
    </row>
    <row r="106" customFormat="false" ht="15" hidden="false" customHeight="false" outlineLevel="0" collapsed="false">
      <c r="A106" s="36" t="n">
        <v>74</v>
      </c>
      <c r="B106" s="54" t="n">
        <f aca="false">IF(A106&lt;$C$9,(1-(1+$C$10)^-($C$9-A106))/(1-(1+$C$10)^-$C$9),0)</f>
        <v>0</v>
      </c>
      <c r="C106" s="54"/>
      <c r="D106" s="54" t="n">
        <f aca="false">B106*(1+$C$11)^-A106</f>
        <v>0</v>
      </c>
      <c r="E106" s="54" t="n">
        <f aca="false">IF(A106&lt;$C$9-1,(1-(1+$C$10)^-($C$9-1-A106))/(1-(1+$C$10)^-($C$9-1)),0)*(1+$C$11)^-A106</f>
        <v>0</v>
      </c>
      <c r="F106" s="54" t="n">
        <f aca="false">B106+F107</f>
        <v>0</v>
      </c>
      <c r="G106" s="54" t="n">
        <f aca="false">F106*(1+$C$11)^-A106</f>
        <v>0</v>
      </c>
      <c r="H106" s="54" t="n">
        <f aca="false">D106*MAX(0,$C$9-A106)</f>
        <v>0</v>
      </c>
    </row>
    <row r="107" customFormat="false" ht="15" hidden="false" customHeight="false" outlineLevel="0" collapsed="false">
      <c r="A107" s="36" t="n">
        <v>75</v>
      </c>
      <c r="B107" s="54" t="n">
        <f aca="false">IF(A107&lt;$C$9,(1-(1+$C$10)^-($C$9-A107))/(1-(1+$C$10)^-$C$9),0)</f>
        <v>0</v>
      </c>
      <c r="C107" s="54"/>
      <c r="D107" s="54" t="n">
        <f aca="false">B107*(1+$C$11)^-A107</f>
        <v>0</v>
      </c>
      <c r="E107" s="54" t="n">
        <f aca="false">IF(A107&lt;$C$9-1,(1-(1+$C$10)^-($C$9-1-A107))/(1-(1+$C$10)^-($C$9-1)),0)*(1+$C$11)^-A107</f>
        <v>0</v>
      </c>
      <c r="F107" s="54" t="n">
        <f aca="false">B107+F108</f>
        <v>0</v>
      </c>
      <c r="G107" s="54" t="n">
        <f aca="false">F107*(1+$C$11)^-A107</f>
        <v>0</v>
      </c>
      <c r="H107" s="54" t="n">
        <f aca="false">D107*MAX(0,$C$9-A107)</f>
        <v>0</v>
      </c>
    </row>
    <row r="108" customFormat="false" ht="15" hidden="false" customHeight="false" outlineLevel="0" collapsed="false">
      <c r="A108" s="36" t="n">
        <v>76</v>
      </c>
      <c r="B108" s="54" t="n">
        <f aca="false">IF(A108&lt;$C$9,(1-(1+$C$10)^-($C$9-A108))/(1-(1+$C$10)^-$C$9),0)</f>
        <v>0</v>
      </c>
      <c r="C108" s="54"/>
      <c r="D108" s="54" t="n">
        <f aca="false">B108*(1+$C$11)^-A108</f>
        <v>0</v>
      </c>
      <c r="E108" s="54" t="n">
        <f aca="false">IF(A108&lt;$C$9-1,(1-(1+$C$10)^-($C$9-1-A108))/(1-(1+$C$10)^-($C$9-1)),0)*(1+$C$11)^-A108</f>
        <v>0</v>
      </c>
      <c r="F108" s="54" t="n">
        <f aca="false">B108+F109</f>
        <v>0</v>
      </c>
      <c r="G108" s="54" t="n">
        <f aca="false">F108*(1+$C$11)^-A108</f>
        <v>0</v>
      </c>
      <c r="H108" s="54" t="n">
        <f aca="false">D108*MAX(0,$C$9-A108)</f>
        <v>0</v>
      </c>
    </row>
    <row r="109" customFormat="false" ht="15" hidden="false" customHeight="false" outlineLevel="0" collapsed="false">
      <c r="A109" s="36" t="n">
        <v>77</v>
      </c>
      <c r="B109" s="54" t="n">
        <f aca="false">IF(A109&lt;$C$9,(1-(1+$C$10)^-($C$9-A109))/(1-(1+$C$10)^-$C$9),0)</f>
        <v>0</v>
      </c>
      <c r="C109" s="54"/>
      <c r="D109" s="54" t="n">
        <f aca="false">B109*(1+$C$11)^-A109</f>
        <v>0</v>
      </c>
      <c r="E109" s="54" t="n">
        <f aca="false">IF(A109&lt;$C$9-1,(1-(1+$C$10)^-($C$9-1-A109))/(1-(1+$C$10)^-($C$9-1)),0)*(1+$C$11)^-A109</f>
        <v>0</v>
      </c>
      <c r="F109" s="54" t="n">
        <f aca="false">B109+F110</f>
        <v>0</v>
      </c>
      <c r="G109" s="54" t="n">
        <f aca="false">F109*(1+$C$11)^-A109</f>
        <v>0</v>
      </c>
      <c r="H109" s="54" t="n">
        <f aca="false">D109*MAX(0,$C$9-A109)</f>
        <v>0</v>
      </c>
    </row>
    <row r="110" customFormat="false" ht="15" hidden="false" customHeight="false" outlineLevel="0" collapsed="false">
      <c r="A110" s="36" t="n">
        <v>78</v>
      </c>
      <c r="B110" s="54" t="n">
        <f aca="false">IF(A110&lt;$C$9,(1-(1+$C$10)^-($C$9-A110))/(1-(1+$C$10)^-$C$9),0)</f>
        <v>0</v>
      </c>
      <c r="C110" s="54"/>
      <c r="D110" s="54" t="n">
        <f aca="false">B110*(1+$C$11)^-A110</f>
        <v>0</v>
      </c>
      <c r="E110" s="54" t="n">
        <f aca="false">IF(A110&lt;$C$9-1,(1-(1+$C$10)^-($C$9-1-A110))/(1-(1+$C$10)^-($C$9-1)),0)*(1+$C$11)^-A110</f>
        <v>0</v>
      </c>
      <c r="F110" s="54" t="n">
        <f aca="false">B110+F111</f>
        <v>0</v>
      </c>
      <c r="G110" s="54" t="n">
        <f aca="false">F110*(1+$C$11)^-A110</f>
        <v>0</v>
      </c>
      <c r="H110" s="54" t="n">
        <f aca="false">D110*MAX(0,$C$9-A110)</f>
        <v>0</v>
      </c>
    </row>
    <row r="111" customFormat="false" ht="15" hidden="false" customHeight="false" outlineLevel="0" collapsed="false">
      <c r="A111" s="36" t="n">
        <v>79</v>
      </c>
      <c r="B111" s="54" t="n">
        <f aca="false">IF(A111&lt;$C$9,(1-(1+$C$10)^-($C$9-A111))/(1-(1+$C$10)^-$C$9),0)</f>
        <v>0</v>
      </c>
      <c r="C111" s="54"/>
      <c r="D111" s="54" t="n">
        <f aca="false">B111*(1+$C$11)^-A111</f>
        <v>0</v>
      </c>
      <c r="E111" s="54" t="n">
        <f aca="false">IF(A111&lt;$C$9-1,(1-(1+$C$10)^-($C$9-1-A111))/(1-(1+$C$10)^-($C$9-1)),0)*(1+$C$11)^-A111</f>
        <v>0</v>
      </c>
      <c r="F111" s="54" t="n">
        <f aca="false">B111+F112</f>
        <v>0</v>
      </c>
      <c r="G111" s="54" t="n">
        <f aca="false">F111*(1+$C$11)^-A111</f>
        <v>0</v>
      </c>
      <c r="H111" s="54" t="n">
        <f aca="false">D111*MAX(0,$C$9-A111)</f>
        <v>0</v>
      </c>
    </row>
    <row r="112" customFormat="false" ht="15" hidden="false" customHeight="false" outlineLevel="0" collapsed="false">
      <c r="A112" s="36" t="n">
        <v>80</v>
      </c>
      <c r="B112" s="54" t="n">
        <f aca="false">IF(A112&lt;$C$9,(1-(1+$C$10)^-($C$9-A112))/(1-(1+$C$10)^-$C$9),0)</f>
        <v>0</v>
      </c>
      <c r="C112" s="54"/>
      <c r="D112" s="54" t="n">
        <f aca="false">B112*(1+$C$11)^-A112</f>
        <v>0</v>
      </c>
      <c r="E112" s="54" t="n">
        <f aca="false">IF(A112&lt;$C$9-1,(1-(1+$C$10)^-($C$9-1-A112))/(1-(1+$C$10)^-($C$9-1)),0)*(1+$C$11)^-A112</f>
        <v>0</v>
      </c>
      <c r="F112" s="54" t="n">
        <f aca="false">B112+F113</f>
        <v>0</v>
      </c>
      <c r="G112" s="54" t="n">
        <f aca="false">F112*(1+$C$11)^-A112</f>
        <v>0</v>
      </c>
      <c r="H112" s="54" t="n">
        <f aca="false">D112*MAX(0,$C$9-A112)</f>
        <v>0</v>
      </c>
    </row>
    <row r="113" customFormat="false" ht="15" hidden="false" customHeight="false" outlineLevel="0" collapsed="false">
      <c r="A113" s="36" t="n">
        <v>81</v>
      </c>
      <c r="B113" s="54" t="n">
        <f aca="false">IF(A113&lt;$C$9,(1-(1+$C$10)^-($C$9-A113))/(1-(1+$C$10)^-$C$9),0)</f>
        <v>0</v>
      </c>
      <c r="C113" s="54"/>
      <c r="D113" s="54" t="n">
        <f aca="false">B113*(1+$C$11)^-A113</f>
        <v>0</v>
      </c>
      <c r="E113" s="54" t="n">
        <f aca="false">IF(A113&lt;$C$9-1,(1-(1+$C$10)^-($C$9-1-A113))/(1-(1+$C$10)^-($C$9-1)),0)*(1+$C$11)^-A113</f>
        <v>0</v>
      </c>
      <c r="F113" s="54" t="n">
        <f aca="false">B113+F114</f>
        <v>0</v>
      </c>
      <c r="G113" s="54" t="n">
        <f aca="false">F113*(1+$C$11)^-A113</f>
        <v>0</v>
      </c>
      <c r="H113" s="54" t="n">
        <f aca="false">D113*MAX(0,$C$9-A113)</f>
        <v>0</v>
      </c>
    </row>
    <row r="114" customFormat="false" ht="15" hidden="false" customHeight="false" outlineLevel="0" collapsed="false">
      <c r="A114" s="36" t="n">
        <v>82</v>
      </c>
      <c r="B114" s="54" t="n">
        <f aca="false">IF(A114&lt;$C$9,(1-(1+$C$10)^-($C$9-A114))/(1-(1+$C$10)^-$C$9),0)</f>
        <v>0</v>
      </c>
      <c r="C114" s="54"/>
      <c r="D114" s="54" t="n">
        <f aca="false">B114*(1+$C$11)^-A114</f>
        <v>0</v>
      </c>
      <c r="E114" s="54" t="n">
        <f aca="false">IF(A114&lt;$C$9-1,(1-(1+$C$10)^-($C$9-1-A114))/(1-(1+$C$10)^-($C$9-1)),0)*(1+$C$11)^-A114</f>
        <v>0</v>
      </c>
      <c r="F114" s="54" t="n">
        <f aca="false">B114+F115</f>
        <v>0</v>
      </c>
      <c r="G114" s="54" t="n">
        <f aca="false">F114*(1+$C$11)^-A114</f>
        <v>0</v>
      </c>
      <c r="H114" s="54" t="n">
        <f aca="false">D114*MAX(0,$C$9-A114)</f>
        <v>0</v>
      </c>
    </row>
    <row r="115" customFormat="false" ht="15" hidden="false" customHeight="false" outlineLevel="0" collapsed="false">
      <c r="A115" s="36" t="n">
        <v>83</v>
      </c>
      <c r="B115" s="54" t="n">
        <f aca="false">IF(A115&lt;$C$9,(1-(1+$C$10)^-($C$9-A115))/(1-(1+$C$10)^-$C$9),0)</f>
        <v>0</v>
      </c>
      <c r="C115" s="54"/>
      <c r="D115" s="54" t="n">
        <f aca="false">B115*(1+$C$11)^-A115</f>
        <v>0</v>
      </c>
      <c r="E115" s="54" t="n">
        <f aca="false">IF(A115&lt;$C$9-1,(1-(1+$C$10)^-($C$9-1-A115))/(1-(1+$C$10)^-($C$9-1)),0)*(1+$C$11)^-A115</f>
        <v>0</v>
      </c>
      <c r="F115" s="54" t="n">
        <f aca="false">B115+F116</f>
        <v>0</v>
      </c>
      <c r="G115" s="54" t="n">
        <f aca="false">F115*(1+$C$11)^-A115</f>
        <v>0</v>
      </c>
      <c r="H115" s="54" t="n">
        <f aca="false">D115*MAX(0,$C$9-A115)</f>
        <v>0</v>
      </c>
    </row>
    <row r="116" customFormat="false" ht="15" hidden="false" customHeight="false" outlineLevel="0" collapsed="false">
      <c r="A116" s="36" t="n">
        <v>84</v>
      </c>
      <c r="B116" s="54" t="n">
        <f aca="false">IF(A116&lt;$C$9,(1-(1+$C$10)^-($C$9-A116))/(1-(1+$C$10)^-$C$9),0)</f>
        <v>0</v>
      </c>
      <c r="C116" s="54"/>
      <c r="D116" s="54" t="n">
        <f aca="false">B116*(1+$C$11)^-A116</f>
        <v>0</v>
      </c>
      <c r="E116" s="54" t="n">
        <f aca="false">IF(A116&lt;$C$9-1,(1-(1+$C$10)^-($C$9-1-A116))/(1-(1+$C$10)^-($C$9-1)),0)*(1+$C$11)^-A116</f>
        <v>0</v>
      </c>
      <c r="F116" s="54" t="n">
        <f aca="false">B116+F117</f>
        <v>0</v>
      </c>
      <c r="G116" s="54" t="n">
        <f aca="false">F116*(1+$C$11)^-A116</f>
        <v>0</v>
      </c>
      <c r="H116" s="54" t="n">
        <f aca="false">D116*MAX(0,$C$9-A116)</f>
        <v>0</v>
      </c>
    </row>
    <row r="117" customFormat="false" ht="15" hidden="false" customHeight="false" outlineLevel="0" collapsed="false">
      <c r="A117" s="36" t="n">
        <v>85</v>
      </c>
      <c r="B117" s="54" t="n">
        <f aca="false">IF(A117&lt;$C$9,(1-(1+$C$10)^-($C$9-A117))/(1-(1+$C$10)^-$C$9),0)</f>
        <v>0</v>
      </c>
      <c r="C117" s="54"/>
      <c r="D117" s="54" t="n">
        <f aca="false">B117*(1+$C$11)^-A117</f>
        <v>0</v>
      </c>
      <c r="E117" s="54" t="n">
        <f aca="false">IF(A117&lt;$C$9-1,(1-(1+$C$10)^-($C$9-1-A117))/(1-(1+$C$10)^-($C$9-1)),0)*(1+$C$11)^-A117</f>
        <v>0</v>
      </c>
      <c r="F117" s="54" t="n">
        <f aca="false">B117+F118</f>
        <v>0</v>
      </c>
      <c r="G117" s="54" t="n">
        <f aca="false">F117*(1+$C$11)^-A117</f>
        <v>0</v>
      </c>
      <c r="H117" s="54" t="n">
        <f aca="false">D117*MAX(0,$C$9-A117)</f>
        <v>0</v>
      </c>
    </row>
    <row r="118" customFormat="false" ht="15" hidden="false" customHeight="false" outlineLevel="0" collapsed="false">
      <c r="A118" s="36" t="n">
        <v>86</v>
      </c>
      <c r="B118" s="54" t="n">
        <f aca="false">IF(A118&lt;$C$9,(1-(1+$C$10)^-($C$9-A118))/(1-(1+$C$10)^-$C$9),0)</f>
        <v>0</v>
      </c>
      <c r="C118" s="54"/>
      <c r="D118" s="54" t="n">
        <f aca="false">B118*(1+$C$11)^-A118</f>
        <v>0</v>
      </c>
      <c r="E118" s="54" t="n">
        <f aca="false">IF(A118&lt;$C$9-1,(1-(1+$C$10)^-($C$9-1-A118))/(1-(1+$C$10)^-($C$9-1)),0)*(1+$C$11)^-A118</f>
        <v>0</v>
      </c>
      <c r="F118" s="54" t="n">
        <f aca="false">B118+F119</f>
        <v>0</v>
      </c>
      <c r="G118" s="54" t="n">
        <f aca="false">F118*(1+$C$11)^-A118</f>
        <v>0</v>
      </c>
      <c r="H118" s="54" t="n">
        <f aca="false">D118*MAX(0,$C$9-A118)</f>
        <v>0</v>
      </c>
    </row>
    <row r="119" customFormat="false" ht="15" hidden="false" customHeight="false" outlineLevel="0" collapsed="false">
      <c r="A119" s="36" t="n">
        <v>87</v>
      </c>
      <c r="B119" s="54" t="n">
        <f aca="false">IF(A119&lt;$C$9,(1-(1+$C$10)^-($C$9-A119))/(1-(1+$C$10)^-$C$9),0)</f>
        <v>0</v>
      </c>
      <c r="C119" s="54"/>
      <c r="D119" s="54" t="n">
        <f aca="false">B119*(1+$C$11)^-A119</f>
        <v>0</v>
      </c>
      <c r="E119" s="54" t="n">
        <f aca="false">IF(A119&lt;$C$9-1,(1-(1+$C$10)^-($C$9-1-A119))/(1-(1+$C$10)^-($C$9-1)),0)*(1+$C$11)^-A119</f>
        <v>0</v>
      </c>
      <c r="F119" s="54" t="n">
        <f aca="false">B119+F120</f>
        <v>0</v>
      </c>
      <c r="G119" s="54" t="n">
        <f aca="false">F119*(1+$C$11)^-A119</f>
        <v>0</v>
      </c>
      <c r="H119" s="54" t="n">
        <f aca="false">D119*MAX(0,$C$9-A119)</f>
        <v>0</v>
      </c>
    </row>
    <row r="120" customFormat="false" ht="15" hidden="false" customHeight="false" outlineLevel="0" collapsed="false">
      <c r="A120" s="36" t="n">
        <v>88</v>
      </c>
      <c r="B120" s="54" t="n">
        <f aca="false">IF(A120&lt;$C$9,(1-(1+$C$10)^-($C$9-A120))/(1-(1+$C$10)^-$C$9),0)</f>
        <v>0</v>
      </c>
      <c r="C120" s="54"/>
      <c r="D120" s="54" t="n">
        <f aca="false">B120*(1+$C$11)^-A120</f>
        <v>0</v>
      </c>
      <c r="E120" s="54" t="n">
        <f aca="false">IF(A120&lt;$C$9-1,(1-(1+$C$10)^-($C$9-1-A120))/(1-(1+$C$10)^-($C$9-1)),0)*(1+$C$11)^-A120</f>
        <v>0</v>
      </c>
      <c r="F120" s="54" t="n">
        <f aca="false">B120+F121</f>
        <v>0</v>
      </c>
      <c r="G120" s="54" t="n">
        <f aca="false">F120*(1+$C$11)^-A120</f>
        <v>0</v>
      </c>
      <c r="H120" s="54" t="n">
        <f aca="false">D120*MAX(0,$C$9-A120)</f>
        <v>0</v>
      </c>
    </row>
    <row r="121" customFormat="false" ht="15" hidden="false" customHeight="false" outlineLevel="0" collapsed="false">
      <c r="A121" s="36" t="n">
        <v>89</v>
      </c>
      <c r="B121" s="54" t="n">
        <f aca="false">IF(A121&lt;$C$9,(1-(1+$C$10)^-($C$9-A121))/(1-(1+$C$10)^-$C$9),0)</f>
        <v>0</v>
      </c>
      <c r="C121" s="54"/>
      <c r="D121" s="54" t="n">
        <f aca="false">B121*(1+$C$11)^-A121</f>
        <v>0</v>
      </c>
      <c r="E121" s="54" t="n">
        <f aca="false">IF(A121&lt;$C$9-1,(1-(1+$C$10)^-($C$9-1-A121))/(1-(1+$C$10)^-($C$9-1)),0)*(1+$C$11)^-A121</f>
        <v>0</v>
      </c>
      <c r="F121" s="54" t="n">
        <f aca="false">B121+F122</f>
        <v>0</v>
      </c>
      <c r="G121" s="54" t="n">
        <f aca="false">F121*(1+$C$11)^-A121</f>
        <v>0</v>
      </c>
      <c r="H121" s="54" t="n">
        <f aca="false">D121*MAX(0,$C$9-A121)</f>
        <v>0</v>
      </c>
    </row>
    <row r="122" customFormat="false" ht="15" hidden="false" customHeight="false" outlineLevel="0" collapsed="false">
      <c r="A122" s="36" t="n">
        <v>90</v>
      </c>
      <c r="B122" s="54" t="n">
        <f aca="false">IF(A122&lt;$C$9,(1-(1+$C$10)^-($C$9-A122))/(1-(1+$C$10)^-$C$9),0)</f>
        <v>0</v>
      </c>
      <c r="C122" s="54"/>
      <c r="D122" s="54" t="n">
        <f aca="false">B122*(1+$C$11)^-A122</f>
        <v>0</v>
      </c>
      <c r="E122" s="54" t="n">
        <f aca="false">IF(A122&lt;$C$9-1,(1-(1+$C$10)^-($C$9-1-A122))/(1-(1+$C$10)^-($C$9-1)),0)*(1+$C$11)^-A122</f>
        <v>0</v>
      </c>
      <c r="F122" s="54" t="n">
        <f aca="false">B122+F123</f>
        <v>0</v>
      </c>
      <c r="G122" s="54" t="n">
        <f aca="false">F122*(1+$C$11)^-A122</f>
        <v>0</v>
      </c>
      <c r="H122" s="54" t="n">
        <f aca="false">D122*MAX(0,$C$9-A122)</f>
        <v>0</v>
      </c>
    </row>
    <row r="123" customFormat="false" ht="15" hidden="false" customHeight="false" outlineLevel="0" collapsed="false">
      <c r="A123" s="36" t="n">
        <v>91</v>
      </c>
      <c r="B123" s="54" t="n">
        <f aca="false">IF(A123&lt;$C$9,(1-(1+$C$10)^-($C$9-A123))/(1-(1+$C$10)^-$C$9),0)</f>
        <v>0</v>
      </c>
      <c r="C123" s="54"/>
      <c r="D123" s="54" t="n">
        <f aca="false">B123*(1+$C$11)^-A123</f>
        <v>0</v>
      </c>
      <c r="E123" s="54" t="n">
        <f aca="false">IF(A123&lt;$C$9-1,(1-(1+$C$10)^-($C$9-1-A123))/(1-(1+$C$10)^-($C$9-1)),0)*(1+$C$11)^-A123</f>
        <v>0</v>
      </c>
      <c r="F123" s="54" t="n">
        <f aca="false">B123+F124</f>
        <v>0</v>
      </c>
      <c r="G123" s="54" t="n">
        <f aca="false">F123*(1+$C$11)^-A123</f>
        <v>0</v>
      </c>
      <c r="H123" s="54" t="n">
        <f aca="false">D123*MAX(0,$C$9-A123)</f>
        <v>0</v>
      </c>
    </row>
    <row r="124" customFormat="false" ht="15" hidden="false" customHeight="false" outlineLevel="0" collapsed="false">
      <c r="A124" s="36" t="n">
        <v>92</v>
      </c>
      <c r="B124" s="54" t="n">
        <f aca="false">IF(A124&lt;$C$9,(1-(1+$C$10)^-($C$9-A124))/(1-(1+$C$10)^-$C$9),0)</f>
        <v>0</v>
      </c>
      <c r="C124" s="54"/>
      <c r="D124" s="54" t="n">
        <f aca="false">B124*(1+$C$11)^-A124</f>
        <v>0</v>
      </c>
      <c r="E124" s="54" t="n">
        <f aca="false">IF(A124&lt;$C$9-1,(1-(1+$C$10)^-($C$9-1-A124))/(1-(1+$C$10)^-($C$9-1)),0)*(1+$C$11)^-A124</f>
        <v>0</v>
      </c>
      <c r="F124" s="54" t="n">
        <f aca="false">B124+F125</f>
        <v>0</v>
      </c>
      <c r="G124" s="54" t="n">
        <f aca="false">F124*(1+$C$11)^-A124</f>
        <v>0</v>
      </c>
      <c r="H124" s="54" t="n">
        <f aca="false">D124*MAX(0,$C$9-A124)</f>
        <v>0</v>
      </c>
    </row>
    <row r="125" customFormat="false" ht="15" hidden="false" customHeight="false" outlineLevel="0" collapsed="false">
      <c r="A125" s="36" t="n">
        <v>93</v>
      </c>
      <c r="B125" s="54" t="n">
        <f aca="false">IF(A125&lt;$C$9,(1-(1+$C$10)^-($C$9-A125))/(1-(1+$C$10)^-$C$9),0)</f>
        <v>0</v>
      </c>
      <c r="C125" s="54"/>
      <c r="D125" s="54" t="n">
        <f aca="false">B125*(1+$C$11)^-A125</f>
        <v>0</v>
      </c>
      <c r="E125" s="54" t="n">
        <f aca="false">IF(A125&lt;$C$9-1,(1-(1+$C$10)^-($C$9-1-A125))/(1-(1+$C$10)^-($C$9-1)),0)*(1+$C$11)^-A125</f>
        <v>0</v>
      </c>
      <c r="F125" s="54" t="n">
        <f aca="false">B125+F126</f>
        <v>0</v>
      </c>
      <c r="G125" s="54" t="n">
        <f aca="false">F125*(1+$C$11)^-A125</f>
        <v>0</v>
      </c>
      <c r="H125" s="54" t="n">
        <f aca="false">D125*MAX(0,$C$9-A125)</f>
        <v>0</v>
      </c>
    </row>
    <row r="126" customFormat="false" ht="15" hidden="false" customHeight="false" outlineLevel="0" collapsed="false">
      <c r="A126" s="36" t="n">
        <v>94</v>
      </c>
      <c r="B126" s="54" t="n">
        <f aca="false">IF(A126&lt;$C$9,(1-(1+$C$10)^-($C$9-A126))/(1-(1+$C$10)^-$C$9),0)</f>
        <v>0</v>
      </c>
      <c r="C126" s="54"/>
      <c r="D126" s="54" t="n">
        <f aca="false">B126*(1+$C$11)^-A126</f>
        <v>0</v>
      </c>
      <c r="E126" s="54" t="n">
        <f aca="false">IF(A126&lt;$C$9-1,(1-(1+$C$10)^-($C$9-1-A126))/(1-(1+$C$10)^-($C$9-1)),0)*(1+$C$11)^-A126</f>
        <v>0</v>
      </c>
      <c r="F126" s="54" t="n">
        <f aca="false">B126+F127</f>
        <v>0</v>
      </c>
      <c r="G126" s="54" t="n">
        <f aca="false">F126*(1+$C$11)^-A126</f>
        <v>0</v>
      </c>
      <c r="H126" s="54" t="n">
        <f aca="false">D126*MAX(0,$C$9-A126)</f>
        <v>0</v>
      </c>
    </row>
    <row r="127" customFormat="false" ht="15" hidden="false" customHeight="false" outlineLevel="0" collapsed="false">
      <c r="A127" s="36" t="n">
        <v>95</v>
      </c>
      <c r="B127" s="54" t="n">
        <f aca="false">IF(A127&lt;$C$9,(1-(1+$C$10)^-($C$9-A127))/(1-(1+$C$10)^-$C$9),0)</f>
        <v>0</v>
      </c>
      <c r="C127" s="54"/>
      <c r="D127" s="54" t="n">
        <f aca="false">B127*(1+$C$11)^-A127</f>
        <v>0</v>
      </c>
      <c r="E127" s="54" t="n">
        <f aca="false">IF(A127&lt;$C$9-1,(1-(1+$C$10)^-($C$9-1-A127))/(1-(1+$C$10)^-($C$9-1)),0)*(1+$C$11)^-A127</f>
        <v>0</v>
      </c>
      <c r="F127" s="54" t="n">
        <f aca="false">B127+F128</f>
        <v>0</v>
      </c>
      <c r="G127" s="54" t="n">
        <f aca="false">F127*(1+$C$11)^-A127</f>
        <v>0</v>
      </c>
      <c r="H127" s="54" t="n">
        <f aca="false">D127*MAX(0,$C$9-A127)</f>
        <v>0</v>
      </c>
    </row>
    <row r="128" customFormat="false" ht="15" hidden="false" customHeight="false" outlineLevel="0" collapsed="false">
      <c r="A128" s="36" t="n">
        <v>96</v>
      </c>
      <c r="B128" s="54" t="n">
        <f aca="false">IF(A128&lt;$C$9,(1-(1+$C$10)^-($C$9-A128))/(1-(1+$C$10)^-$C$9),0)</f>
        <v>0</v>
      </c>
      <c r="C128" s="54"/>
      <c r="D128" s="54" t="n">
        <f aca="false">B128*(1+$C$11)^-A128</f>
        <v>0</v>
      </c>
      <c r="E128" s="54" t="n">
        <f aca="false">IF(A128&lt;$C$9-1,(1-(1+$C$10)^-($C$9-1-A128))/(1-(1+$C$10)^-($C$9-1)),0)*(1+$C$11)^-A128</f>
        <v>0</v>
      </c>
      <c r="F128" s="54" t="n">
        <f aca="false">B128+F129</f>
        <v>0</v>
      </c>
      <c r="G128" s="54" t="n">
        <f aca="false">F128*(1+$C$11)^-A128</f>
        <v>0</v>
      </c>
      <c r="H128" s="54" t="n">
        <f aca="false">D128*MAX(0,$C$9-A128)</f>
        <v>0</v>
      </c>
    </row>
    <row r="129" customFormat="false" ht="15" hidden="false" customHeight="false" outlineLevel="0" collapsed="false">
      <c r="A129" s="36" t="n">
        <v>97</v>
      </c>
      <c r="B129" s="54" t="n">
        <f aca="false">IF(A129&lt;$C$9,(1-(1+$C$10)^-($C$9-A129))/(1-(1+$C$10)^-$C$9),0)</f>
        <v>0</v>
      </c>
      <c r="C129" s="54"/>
      <c r="D129" s="54" t="n">
        <f aca="false">B129*(1+$C$11)^-A129</f>
        <v>0</v>
      </c>
      <c r="E129" s="54" t="n">
        <f aca="false">IF(A129&lt;$C$9-1,(1-(1+$C$10)^-($C$9-1-A129))/(1-(1+$C$10)^-($C$9-1)),0)*(1+$C$11)^-A129</f>
        <v>0</v>
      </c>
      <c r="F129" s="54" t="n">
        <f aca="false">B129+F130</f>
        <v>0</v>
      </c>
      <c r="G129" s="54" t="n">
        <f aca="false">F129*(1+$C$11)^-A129</f>
        <v>0</v>
      </c>
      <c r="H129" s="54" t="n">
        <f aca="false">D129*MAX(0,$C$9-A129)</f>
        <v>0</v>
      </c>
    </row>
    <row r="130" customFormat="false" ht="15" hidden="false" customHeight="false" outlineLevel="0" collapsed="false">
      <c r="A130" s="36" t="n">
        <v>98</v>
      </c>
      <c r="B130" s="54" t="n">
        <f aca="false">IF(A130&lt;$C$9,(1-(1+$C$10)^-($C$9-A130))/(1-(1+$C$10)^-$C$9),0)</f>
        <v>0</v>
      </c>
      <c r="C130" s="54"/>
      <c r="D130" s="54" t="n">
        <f aca="false">B130*(1+$C$11)^-A130</f>
        <v>0</v>
      </c>
      <c r="E130" s="54" t="n">
        <f aca="false">IF(A130&lt;$C$9-1,(1-(1+$C$10)^-($C$9-1-A130))/(1-(1+$C$10)^-($C$9-1)),0)*(1+$C$11)^-A130</f>
        <v>0</v>
      </c>
      <c r="F130" s="54" t="n">
        <f aca="false">B130+F131</f>
        <v>0</v>
      </c>
      <c r="G130" s="54" t="n">
        <f aca="false">F130*(1+$C$11)^-A130</f>
        <v>0</v>
      </c>
      <c r="H130" s="54" t="n">
        <f aca="false">D130*MAX(0,$C$9-A130)</f>
        <v>0</v>
      </c>
    </row>
    <row r="131" customFormat="false" ht="15" hidden="false" customHeight="false" outlineLevel="0" collapsed="false">
      <c r="A131" s="36" t="n">
        <v>99</v>
      </c>
      <c r="B131" s="54" t="n">
        <f aca="false">IF(A131&lt;$C$9,(1-(1+$C$10)^-($C$9-A131))/(1-(1+$C$10)^-$C$9),0)</f>
        <v>0</v>
      </c>
      <c r="C131" s="54"/>
      <c r="D131" s="54" t="n">
        <f aca="false">B131*(1+$C$11)^-A131</f>
        <v>0</v>
      </c>
      <c r="E131" s="54" t="n">
        <f aca="false">IF(A131&lt;$C$9-1,(1-(1+$C$10)^-($C$9-1-A131))/(1-(1+$C$10)^-($C$9-1)),0)*(1+$C$11)^-A131</f>
        <v>0</v>
      </c>
      <c r="F131" s="54" t="n">
        <f aca="false">B131+F132</f>
        <v>0</v>
      </c>
      <c r="G131" s="54" t="n">
        <f aca="false">F131*(1+$C$11)^-A131</f>
        <v>0</v>
      </c>
      <c r="H131" s="54" t="n">
        <f aca="false">D131*MAX(0,$C$9-A131)</f>
        <v>0</v>
      </c>
    </row>
    <row r="132" customFormat="false" ht="15" hidden="false" customHeight="false" outlineLevel="0" collapsed="false">
      <c r="A132" s="36" t="n">
        <v>100</v>
      </c>
      <c r="B132" s="54" t="n">
        <f aca="false">IF(A132&lt;$C$9,(1-(1+$C$10)^-($C$9-A132))/(1-(1+$C$10)^-$C$9),0)</f>
        <v>0</v>
      </c>
      <c r="C132" s="54"/>
      <c r="D132" s="54" t="n">
        <f aca="false">B132*(1+$C$11)^-A132</f>
        <v>0</v>
      </c>
      <c r="E132" s="54" t="n">
        <f aca="false">IF(A132&lt;$C$9-1,(1-(1+$C$10)^-($C$9-1-A132))/(1-(1+$C$10)^-($C$9-1)),0)*(1+$C$11)^-A132</f>
        <v>0</v>
      </c>
      <c r="F132" s="54" t="n">
        <f aca="false">B132+F133</f>
        <v>0</v>
      </c>
      <c r="G132" s="54" t="n">
        <f aca="false">F132*(1+$C$11)^-A132</f>
        <v>0</v>
      </c>
      <c r="H132" s="54" t="n">
        <f aca="false">D132*MAX(0,$C$9-A132)</f>
        <v>0</v>
      </c>
    </row>
    <row r="133" customFormat="false" ht="15" hidden="false" customHeight="false" outlineLevel="0" collapsed="false">
      <c r="A133" s="36" t="n">
        <v>101</v>
      </c>
      <c r="B133" s="54" t="n">
        <f aca="false">IF(A133&lt;$C$9,(1-(1+$C$10)^-($C$9-A133))/(1-(1+$C$10)^-$C$9),0)</f>
        <v>0</v>
      </c>
      <c r="C133" s="54"/>
      <c r="D133" s="54" t="n">
        <f aca="false">B133*(1+$C$11)^-A133</f>
        <v>0</v>
      </c>
      <c r="E133" s="54" t="n">
        <f aca="false">IF(A133&lt;$C$9-1,(1-(1+$C$10)^-($C$9-1-A133))/(1-(1+$C$10)^-($C$9-1)),0)*(1+$C$11)^-A133</f>
        <v>0</v>
      </c>
      <c r="F133" s="54" t="n">
        <f aca="false">B133+F134</f>
        <v>0</v>
      </c>
      <c r="G133" s="54" t="n">
        <f aca="false">F133*(1+$C$11)^-A133</f>
        <v>0</v>
      </c>
      <c r="H133" s="54" t="n">
        <f aca="false">D133*MAX(0,$C$9-A133)</f>
        <v>0</v>
      </c>
    </row>
    <row r="134" customFormat="false" ht="15" hidden="false" customHeight="false" outlineLevel="0" collapsed="false">
      <c r="A134" s="36" t="n">
        <v>102</v>
      </c>
      <c r="B134" s="54" t="n">
        <f aca="false">IF(A134&lt;$C$9,(1-(1+$C$10)^-($C$9-A134))/(1-(1+$C$10)^-$C$9),0)</f>
        <v>0</v>
      </c>
      <c r="C134" s="54"/>
      <c r="D134" s="54" t="n">
        <f aca="false">B134*(1+$C$11)^-A134</f>
        <v>0</v>
      </c>
      <c r="E134" s="54" t="n">
        <f aca="false">IF(A134&lt;$C$9-1,(1-(1+$C$10)^-($C$9-1-A134))/(1-(1+$C$10)^-($C$9-1)),0)*(1+$C$11)^-A134</f>
        <v>0</v>
      </c>
      <c r="F134" s="54" t="n">
        <f aca="false">B134+F135</f>
        <v>0</v>
      </c>
      <c r="G134" s="54" t="n">
        <f aca="false">F134*(1+$C$11)^-A134</f>
        <v>0</v>
      </c>
      <c r="H134" s="54" t="n">
        <f aca="false">D134*MAX(0,$C$9-A134)</f>
        <v>0</v>
      </c>
    </row>
    <row r="135" customFormat="false" ht="15" hidden="false" customHeight="false" outlineLevel="0" collapsed="false">
      <c r="A135" s="36" t="n">
        <v>103</v>
      </c>
      <c r="B135" s="54" t="n">
        <f aca="false">IF(A135&lt;$C$9,(1-(1+$C$10)^-($C$9-A135))/(1-(1+$C$10)^-$C$9),0)</f>
        <v>0</v>
      </c>
      <c r="C135" s="54"/>
      <c r="D135" s="54" t="n">
        <f aca="false">B135*(1+$C$11)^-A135</f>
        <v>0</v>
      </c>
      <c r="E135" s="54" t="n">
        <f aca="false">IF(A135&lt;$C$9-1,(1-(1+$C$10)^-($C$9-1-A135))/(1-(1+$C$10)^-($C$9-1)),0)*(1+$C$11)^-A135</f>
        <v>0</v>
      </c>
      <c r="F135" s="54" t="n">
        <f aca="false">B135+F136</f>
        <v>0</v>
      </c>
      <c r="G135" s="54" t="n">
        <f aca="false">F135*(1+$C$11)^-A135</f>
        <v>0</v>
      </c>
      <c r="H135" s="54" t="n">
        <f aca="false">D135*MAX(0,$C$9-A135)</f>
        <v>0</v>
      </c>
    </row>
    <row r="136" customFormat="false" ht="15" hidden="false" customHeight="false" outlineLevel="0" collapsed="false">
      <c r="A136" s="36" t="n">
        <v>104</v>
      </c>
      <c r="B136" s="54" t="n">
        <f aca="false">IF(A136&lt;$C$9,(1-(1+$C$10)^-($C$9-A136))/(1-(1+$C$10)^-$C$9),0)</f>
        <v>0</v>
      </c>
      <c r="C136" s="54"/>
      <c r="D136" s="54" t="n">
        <f aca="false">B136*(1+$C$11)^-A136</f>
        <v>0</v>
      </c>
      <c r="E136" s="54" t="n">
        <f aca="false">IF(A136&lt;$C$9-1,(1-(1+$C$10)^-($C$9-1-A136))/(1-(1+$C$10)^-($C$9-1)),0)*(1+$C$11)^-A136</f>
        <v>0</v>
      </c>
      <c r="F136" s="54" t="n">
        <f aca="false">B136+F137</f>
        <v>0</v>
      </c>
      <c r="G136" s="54" t="n">
        <f aca="false">F136*(1+$C$11)^-A136</f>
        <v>0</v>
      </c>
      <c r="H136" s="54" t="n">
        <f aca="false">D136*MAX(0,$C$9-A136)</f>
        <v>0</v>
      </c>
    </row>
    <row r="137" customFormat="false" ht="15" hidden="false" customHeight="false" outlineLevel="0" collapsed="false">
      <c r="A137" s="36" t="n">
        <v>105</v>
      </c>
      <c r="B137" s="54" t="n">
        <f aca="false">IF(A137&lt;$C$9,(1-(1+$C$10)^-($C$9-A137))/(1-(1+$C$10)^-$C$9),0)</f>
        <v>0</v>
      </c>
      <c r="C137" s="54"/>
      <c r="D137" s="54" t="n">
        <f aca="false">B137*(1+$C$11)^-A137</f>
        <v>0</v>
      </c>
      <c r="E137" s="54" t="n">
        <f aca="false">IF(A137&lt;$C$9-1,(1-(1+$C$10)^-($C$9-1-A137))/(1-(1+$C$10)^-($C$9-1)),0)*(1+$C$11)^-A137</f>
        <v>0</v>
      </c>
      <c r="F137" s="54" t="n">
        <f aca="false">B137+F138</f>
        <v>0</v>
      </c>
      <c r="G137" s="54" t="n">
        <f aca="false">F137*(1+$C$11)^-A137</f>
        <v>0</v>
      </c>
      <c r="H137" s="54" t="n">
        <f aca="false">D137*MAX(0,$C$9-A137)</f>
        <v>0</v>
      </c>
    </row>
    <row r="138" customFormat="false" ht="15" hidden="false" customHeight="false" outlineLevel="0" collapsed="false">
      <c r="A138" s="36" t="n">
        <v>106</v>
      </c>
      <c r="B138" s="54" t="n">
        <f aca="false">IF(A138&lt;$C$9,(1-(1+$C$10)^-($C$9-A138))/(1-(1+$C$10)^-$C$9),0)</f>
        <v>0</v>
      </c>
      <c r="C138" s="54"/>
      <c r="D138" s="54" t="n">
        <f aca="false">B138*(1+$C$11)^-A138</f>
        <v>0</v>
      </c>
      <c r="E138" s="54" t="n">
        <f aca="false">IF(A138&lt;$C$9-1,(1-(1+$C$10)^-($C$9-1-A138))/(1-(1+$C$10)^-($C$9-1)),0)*(1+$C$11)^-A138</f>
        <v>0</v>
      </c>
      <c r="F138" s="54" t="n">
        <f aca="false">B138+F139</f>
        <v>0</v>
      </c>
      <c r="G138" s="54" t="n">
        <f aca="false">F138*(1+$C$11)^-A138</f>
        <v>0</v>
      </c>
      <c r="H138" s="54" t="n">
        <f aca="false">D138*MAX(0,$C$9-A138)</f>
        <v>0</v>
      </c>
    </row>
    <row r="139" customFormat="false" ht="15" hidden="false" customHeight="false" outlineLevel="0" collapsed="false">
      <c r="A139" s="36" t="n">
        <v>107</v>
      </c>
      <c r="B139" s="54" t="n">
        <f aca="false">IF(A139&lt;$C$9,(1-(1+$C$10)^-($C$9-A139))/(1-(1+$C$10)^-$C$9),0)</f>
        <v>0</v>
      </c>
      <c r="C139" s="54"/>
      <c r="D139" s="54" t="n">
        <f aca="false">B139*(1+$C$11)^-A139</f>
        <v>0</v>
      </c>
      <c r="E139" s="54" t="n">
        <f aca="false">IF(A139&lt;$C$9-1,(1-(1+$C$10)^-($C$9-1-A139))/(1-(1+$C$10)^-($C$9-1)),0)*(1+$C$11)^-A139</f>
        <v>0</v>
      </c>
      <c r="F139" s="54" t="n">
        <f aca="false">B139+F140</f>
        <v>0</v>
      </c>
      <c r="G139" s="54" t="n">
        <f aca="false">F139*(1+$C$11)^-A139</f>
        <v>0</v>
      </c>
      <c r="H139" s="54" t="n">
        <f aca="false">D139*MAX(0,$C$9-A139)</f>
        <v>0</v>
      </c>
    </row>
    <row r="140" customFormat="false" ht="15" hidden="false" customHeight="false" outlineLevel="0" collapsed="false">
      <c r="A140" s="36" t="n">
        <v>108</v>
      </c>
      <c r="B140" s="54" t="n">
        <f aca="false">IF(A140&lt;$C$9,(1-(1+$C$10)^-($C$9-A140))/(1-(1+$C$10)^-$C$9),0)</f>
        <v>0</v>
      </c>
      <c r="C140" s="54"/>
      <c r="D140" s="54" t="n">
        <f aca="false">B140*(1+$C$11)^-A140</f>
        <v>0</v>
      </c>
      <c r="E140" s="54" t="n">
        <f aca="false">IF(A140&lt;$C$9-1,(1-(1+$C$10)^-($C$9-1-A140))/(1-(1+$C$10)^-($C$9-1)),0)*(1+$C$11)^-A140</f>
        <v>0</v>
      </c>
      <c r="F140" s="54" t="n">
        <f aca="false">B140+F141</f>
        <v>0</v>
      </c>
      <c r="G140" s="54" t="n">
        <f aca="false">F140*(1+$C$11)^-A140</f>
        <v>0</v>
      </c>
      <c r="H140" s="54" t="n">
        <f aca="false">D140*MAX(0,$C$9-A140)</f>
        <v>0</v>
      </c>
    </row>
    <row r="141" customFormat="false" ht="15" hidden="false" customHeight="false" outlineLevel="0" collapsed="false">
      <c r="A141" s="36" t="n">
        <v>109</v>
      </c>
      <c r="B141" s="54" t="n">
        <f aca="false">IF(A141&lt;$C$9,(1-(1+$C$10)^-($C$9-A141))/(1-(1+$C$10)^-$C$9),0)</f>
        <v>0</v>
      </c>
      <c r="C141" s="54"/>
      <c r="D141" s="54" t="n">
        <f aca="false">B141*(1+$C$11)^-A141</f>
        <v>0</v>
      </c>
      <c r="E141" s="54" t="n">
        <f aca="false">IF(A141&lt;$C$9-1,(1-(1+$C$10)^-($C$9-1-A141))/(1-(1+$C$10)^-($C$9-1)),0)*(1+$C$11)^-A141</f>
        <v>0</v>
      </c>
      <c r="F141" s="54" t="n">
        <f aca="false">B141+F142</f>
        <v>0</v>
      </c>
      <c r="G141" s="54" t="n">
        <f aca="false">F141*(1+$C$11)^-A141</f>
        <v>0</v>
      </c>
      <c r="H141" s="54" t="n">
        <f aca="false">D141*MAX(0,$C$9-A141)</f>
        <v>0</v>
      </c>
    </row>
    <row r="142" customFormat="false" ht="15" hidden="false" customHeight="false" outlineLevel="0" collapsed="false">
      <c r="A142" s="36" t="n">
        <v>110</v>
      </c>
      <c r="B142" s="54" t="n">
        <f aca="false">IF(A142&lt;$C$9,(1-(1+$C$10)^-($C$9-A142))/(1-(1+$C$10)^-$C$9),0)</f>
        <v>0</v>
      </c>
      <c r="C142" s="54"/>
      <c r="D142" s="54" t="n">
        <f aca="false">B142*(1+$C$11)^-A142</f>
        <v>0</v>
      </c>
      <c r="E142" s="54" t="n">
        <f aca="false">IF(A142&lt;$C$9-1,(1-(1+$C$10)^-($C$9-1-A142))/(1-(1+$C$10)^-($C$9-1)),0)*(1+$C$11)^-A142</f>
        <v>0</v>
      </c>
      <c r="F142" s="54" t="n">
        <f aca="false">B142+F143</f>
        <v>0</v>
      </c>
      <c r="G142" s="54" t="n">
        <f aca="false">F142*(1+$C$11)^-A142</f>
        <v>0</v>
      </c>
      <c r="H142" s="54" t="n">
        <f aca="false">D142*MAX(0,$C$9-A142)</f>
        <v>0</v>
      </c>
    </row>
    <row r="143" customFormat="false" ht="15" hidden="false" customHeight="false" outlineLevel="0" collapsed="false">
      <c r="A143" s="36" t="n">
        <v>111</v>
      </c>
      <c r="B143" s="54" t="n">
        <f aca="false">IF(A143&lt;$C$9,(1-(1+$C$10)^-($C$9-A143))/(1-(1+$C$10)^-$C$9),0)</f>
        <v>0</v>
      </c>
      <c r="C143" s="54"/>
      <c r="D143" s="54" t="n">
        <f aca="false">B143*(1+$C$11)^-A143</f>
        <v>0</v>
      </c>
      <c r="E143" s="54" t="n">
        <f aca="false">IF(A143&lt;$C$9-1,(1-(1+$C$10)^-($C$9-1-A143))/(1-(1+$C$10)^-($C$9-1)),0)*(1+$C$11)^-A143</f>
        <v>0</v>
      </c>
      <c r="F143" s="54" t="n">
        <f aca="false">B143+F144</f>
        <v>0</v>
      </c>
      <c r="G143" s="54" t="n">
        <f aca="false">F143*(1+$C$11)^-A143</f>
        <v>0</v>
      </c>
      <c r="H143" s="54" t="n">
        <f aca="false">D143*MAX(0,$C$9-A143)</f>
        <v>0</v>
      </c>
    </row>
    <row r="144" customFormat="false" ht="15" hidden="false" customHeight="false" outlineLevel="0" collapsed="false">
      <c r="A144" s="36" t="n">
        <v>112</v>
      </c>
      <c r="B144" s="54" t="n">
        <f aca="false">IF(A144&lt;$C$9,(1-(1+$C$10)^-($C$9-A144))/(1-(1+$C$10)^-$C$9),0)</f>
        <v>0</v>
      </c>
      <c r="C144" s="54"/>
      <c r="D144" s="54" t="n">
        <f aca="false">B144*(1+$C$11)^-A144</f>
        <v>0</v>
      </c>
      <c r="E144" s="54" t="n">
        <f aca="false">IF(A144&lt;$C$9-1,(1-(1+$C$10)^-($C$9-1-A144))/(1-(1+$C$10)^-($C$9-1)),0)*(1+$C$11)^-A144</f>
        <v>0</v>
      </c>
      <c r="F144" s="54" t="n">
        <f aca="false">B144+F145</f>
        <v>0</v>
      </c>
      <c r="G144" s="54" t="n">
        <f aca="false">F144*(1+$C$11)^-A144</f>
        <v>0</v>
      </c>
      <c r="H144" s="54" t="n">
        <f aca="false">D144*MAX(0,$C$9-A144)</f>
        <v>0</v>
      </c>
    </row>
    <row r="145" customFormat="false" ht="15" hidden="false" customHeight="false" outlineLevel="0" collapsed="false">
      <c r="A145" s="36" t="n">
        <v>113</v>
      </c>
      <c r="B145" s="54" t="n">
        <f aca="false">IF(A145&lt;$C$9,(1-(1+$C$10)^-($C$9-A145))/(1-(1+$C$10)^-$C$9),0)</f>
        <v>0</v>
      </c>
      <c r="C145" s="54"/>
      <c r="D145" s="54" t="n">
        <f aca="false">B145*(1+$C$11)^-A145</f>
        <v>0</v>
      </c>
      <c r="E145" s="54" t="n">
        <f aca="false">IF(A145&lt;$C$9-1,(1-(1+$C$10)^-($C$9-1-A145))/(1-(1+$C$10)^-($C$9-1)),0)*(1+$C$11)^-A145</f>
        <v>0</v>
      </c>
      <c r="F145" s="54" t="n">
        <f aca="false">B145+F146</f>
        <v>0</v>
      </c>
      <c r="G145" s="54" t="n">
        <f aca="false">F145*(1+$C$11)^-A145</f>
        <v>0</v>
      </c>
      <c r="H145" s="54" t="n">
        <f aca="false">D145*MAX(0,$C$9-A145)</f>
        <v>0</v>
      </c>
    </row>
    <row r="146" customFormat="false" ht="15" hidden="false" customHeight="false" outlineLevel="0" collapsed="false">
      <c r="A146" s="36" t="n">
        <v>114</v>
      </c>
      <c r="B146" s="54" t="n">
        <f aca="false">IF(A146&lt;$C$9,(1-(1+$C$10)^-($C$9-A146))/(1-(1+$C$10)^-$C$9),0)</f>
        <v>0</v>
      </c>
      <c r="C146" s="54"/>
      <c r="D146" s="54" t="n">
        <f aca="false">B146*(1+$C$11)^-A146</f>
        <v>0</v>
      </c>
      <c r="E146" s="54" t="n">
        <f aca="false">IF(A146&lt;$C$9-1,(1-(1+$C$10)^-($C$9-1-A146))/(1-(1+$C$10)^-($C$9-1)),0)*(1+$C$11)^-A146</f>
        <v>0</v>
      </c>
      <c r="F146" s="54" t="n">
        <f aca="false">B146+F147</f>
        <v>0</v>
      </c>
      <c r="G146" s="54" t="n">
        <f aca="false">F146*(1+$C$11)^-A146</f>
        <v>0</v>
      </c>
      <c r="H146" s="54" t="n">
        <f aca="false">D146*MAX(0,$C$9-A146)</f>
        <v>0</v>
      </c>
    </row>
    <row r="147" customFormat="false" ht="15" hidden="false" customHeight="false" outlineLevel="0" collapsed="false">
      <c r="A147" s="36" t="n">
        <v>115</v>
      </c>
      <c r="B147" s="54" t="n">
        <f aca="false">IF(A147&lt;$C$9,(1-(1+$C$10)^-($C$9-A147))/(1-(1+$C$10)^-$C$9),0)</f>
        <v>0</v>
      </c>
      <c r="C147" s="54"/>
      <c r="D147" s="54" t="n">
        <f aca="false">B147*(1+$C$11)^-A147</f>
        <v>0</v>
      </c>
      <c r="E147" s="54" t="n">
        <f aca="false">IF(A147&lt;$C$9-1,(1-(1+$C$10)^-($C$9-1-A147))/(1-(1+$C$10)^-($C$9-1)),0)*(1+$C$11)^-A147</f>
        <v>0</v>
      </c>
      <c r="F147" s="54" t="n">
        <f aca="false">B147+F148</f>
        <v>0</v>
      </c>
      <c r="G147" s="54" t="n">
        <f aca="false">F147*(1+$C$11)^-A147</f>
        <v>0</v>
      </c>
      <c r="H147" s="54" t="n">
        <f aca="false">D147*MAX(0,$C$9-A147)</f>
        <v>0</v>
      </c>
    </row>
    <row r="148" customFormat="false" ht="15" hidden="false" customHeight="false" outlineLevel="0" collapsed="false">
      <c r="A148" s="36" t="n">
        <v>116</v>
      </c>
      <c r="B148" s="54" t="n">
        <f aca="false">IF(A148&lt;$C$9,(1-(1+$C$10)^-($C$9-A148))/(1-(1+$C$10)^-$C$9),0)</f>
        <v>0</v>
      </c>
      <c r="C148" s="54"/>
      <c r="D148" s="54" t="n">
        <f aca="false">B148*(1+$C$11)^-A148</f>
        <v>0</v>
      </c>
      <c r="E148" s="54" t="n">
        <f aca="false">IF(A148&lt;$C$9-1,(1-(1+$C$10)^-($C$9-1-A148))/(1-(1+$C$10)^-($C$9-1)),0)*(1+$C$11)^-A148</f>
        <v>0</v>
      </c>
      <c r="F148" s="54" t="n">
        <f aca="false">B148+F149</f>
        <v>0</v>
      </c>
      <c r="G148" s="54" t="n">
        <f aca="false">F148*(1+$C$11)^-A148</f>
        <v>0</v>
      </c>
      <c r="H148" s="54" t="n">
        <f aca="false">D148*MAX(0,$C$9-A148)</f>
        <v>0</v>
      </c>
    </row>
    <row r="149" customFormat="false" ht="15" hidden="false" customHeight="false" outlineLevel="0" collapsed="false">
      <c r="A149" s="36" t="n">
        <v>117</v>
      </c>
      <c r="B149" s="54" t="n">
        <f aca="false">IF(A149&lt;$C$9,(1-(1+$C$10)^-($C$9-A149))/(1-(1+$C$10)^-$C$9),0)</f>
        <v>0</v>
      </c>
      <c r="C149" s="54"/>
      <c r="D149" s="54" t="n">
        <f aca="false">B149*(1+$C$11)^-A149</f>
        <v>0</v>
      </c>
      <c r="E149" s="54" t="n">
        <f aca="false">IF(A149&lt;$C$9-1,(1-(1+$C$10)^-($C$9-1-A149))/(1-(1+$C$10)^-($C$9-1)),0)*(1+$C$11)^-A149</f>
        <v>0</v>
      </c>
      <c r="F149" s="54" t="n">
        <f aca="false">B149+F150</f>
        <v>0</v>
      </c>
      <c r="G149" s="54" t="n">
        <f aca="false">F149*(1+$C$11)^-A149</f>
        <v>0</v>
      </c>
      <c r="H149" s="54" t="n">
        <f aca="false">D149*MAX(0,$C$9-A149)</f>
        <v>0</v>
      </c>
    </row>
    <row r="150" customFormat="false" ht="15" hidden="false" customHeight="false" outlineLevel="0" collapsed="false">
      <c r="A150" s="36" t="n">
        <v>118</v>
      </c>
      <c r="B150" s="54" t="n">
        <f aca="false">IF(A150&lt;$C$9,(1-(1+$C$10)^-($C$9-A150))/(1-(1+$C$10)^-$C$9),0)</f>
        <v>0</v>
      </c>
      <c r="C150" s="54"/>
      <c r="D150" s="54" t="n">
        <f aca="false">B150*(1+$C$11)^-A150</f>
        <v>0</v>
      </c>
      <c r="E150" s="54" t="n">
        <f aca="false">IF(A150&lt;$C$9-1,(1-(1+$C$10)^-($C$9-1-A150))/(1-(1+$C$10)^-($C$9-1)),0)*(1+$C$11)^-A150</f>
        <v>0</v>
      </c>
      <c r="F150" s="54" t="n">
        <f aca="false">B150+F151</f>
        <v>0</v>
      </c>
      <c r="G150" s="54" t="n">
        <f aca="false">F150*(1+$C$11)^-A150</f>
        <v>0</v>
      </c>
      <c r="H150" s="54" t="n">
        <f aca="false">D150*MAX(0,$C$9-A150)</f>
        <v>0</v>
      </c>
    </row>
    <row r="151" customFormat="false" ht="15" hidden="false" customHeight="false" outlineLevel="0" collapsed="false">
      <c r="A151" s="36" t="n">
        <v>119</v>
      </c>
      <c r="B151" s="54" t="n">
        <f aca="false">IF(A151&lt;$C$9,(1-(1+$C$10)^-($C$9-A151))/(1-(1+$C$10)^-$C$9),0)</f>
        <v>0</v>
      </c>
      <c r="C151" s="54"/>
      <c r="D151" s="54" t="n">
        <f aca="false">B151*(1+$C$11)^-A151</f>
        <v>0</v>
      </c>
      <c r="E151" s="54" t="n">
        <f aca="false">IF(A151&lt;$C$9-1,(1-(1+$C$10)^-($C$9-1-A151))/(1-(1+$C$10)^-($C$9-1)),0)*(1+$C$11)^-A151</f>
        <v>0</v>
      </c>
      <c r="F151" s="54" t="n">
        <f aca="false">B151</f>
        <v>0</v>
      </c>
      <c r="G151" s="54" t="n">
        <f aca="false">F151*(1+$C$11)^-A151</f>
        <v>0</v>
      </c>
      <c r="H151" s="54" t="n">
        <f aca="false">D151*MAX(0,$C$9-A151)</f>
        <v>0</v>
      </c>
    </row>
  </sheetData>
  <mergeCells count="1">
    <mergeCell ref="J5:J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3"/>
    <col collapsed="false" customWidth="true" hidden="false" outlineLevel="0" max="4" min="3" style="0" width="16"/>
    <col collapsed="false" customWidth="true" hidden="false" outlineLevel="0" max="5" min="5" style="0" width="3"/>
    <col collapsed="false" customWidth="true" hidden="false" outlineLevel="0" max="6" min="6" style="0" width="70"/>
  </cols>
  <sheetData>
    <row r="1" customFormat="false" ht="17.35" hidden="false" customHeight="false" outlineLevel="0" collapsed="false">
      <c r="A1" s="1" t="s">
        <v>304</v>
      </c>
    </row>
    <row r="2" customFormat="false" ht="15" hidden="false" customHeight="false" outlineLevel="0" collapsed="false">
      <c r="A2" s="58" t="s">
        <v>305</v>
      </c>
    </row>
    <row r="4" customFormat="false" ht="15" hidden="false" customHeight="false" outlineLevel="0" collapsed="false">
      <c r="A4" s="5" t="s">
        <v>306</v>
      </c>
    </row>
    <row r="5" customFormat="false" ht="15" hidden="false" customHeight="false" outlineLevel="0" collapsed="false">
      <c r="A5" s="62"/>
      <c r="B5" s="62"/>
      <c r="C5" s="62" t="s">
        <v>307</v>
      </c>
      <c r="D5" s="62" t="s">
        <v>308</v>
      </c>
    </row>
    <row r="6" customFormat="false" ht="15" hidden="false" customHeight="true" outlineLevel="0" collapsed="false">
      <c r="A6" s="36" t="s">
        <v>309</v>
      </c>
      <c r="C6" s="41" t="n">
        <f aca="false">Structure!C16</f>
        <v>0.88</v>
      </c>
      <c r="D6" s="41" t="n">
        <f aca="false">Structure!C17</f>
        <v>0.92</v>
      </c>
      <c r="F6" s="3" t="s">
        <v>310</v>
      </c>
    </row>
    <row r="7" customFormat="false" ht="15" hidden="false" customHeight="false" outlineLevel="0" collapsed="false">
      <c r="A7" s="36" t="s">
        <v>120</v>
      </c>
      <c r="C7" s="11" t="n">
        <f aca="false">1-C6</f>
        <v>0.12</v>
      </c>
      <c r="D7" s="11" t="n">
        <f aca="false">1-D6</f>
        <v>0.08</v>
      </c>
      <c r="F7" s="3"/>
    </row>
    <row r="8" customFormat="false" ht="15" hidden="false" customHeight="false" outlineLevel="0" collapsed="false">
      <c r="A8" s="36" t="s">
        <v>311</v>
      </c>
      <c r="C8" s="26" t="n">
        <f aca="false">C7/Structure!$C$11</f>
        <v>5</v>
      </c>
      <c r="D8" s="26" t="n">
        <f aca="false">D7/Structure!$C$11</f>
        <v>3.33333333333333</v>
      </c>
      <c r="F8" s="3"/>
    </row>
    <row r="9" customFormat="false" ht="15" hidden="false" customHeight="false" outlineLevel="0" collapsed="false">
      <c r="A9" s="36" t="s">
        <v>312</v>
      </c>
      <c r="C9" s="41" t="n">
        <f aca="false">'Stressed case'!$B$14</f>
        <v>0.054</v>
      </c>
      <c r="D9" s="41" t="n">
        <f aca="false">'Stressed case'!$B$14</f>
        <v>0.054</v>
      </c>
      <c r="F9" s="3"/>
    </row>
    <row r="10" customFormat="false" ht="15" hidden="false" customHeight="false" outlineLevel="0" collapsed="false">
      <c r="A10" s="36" t="s">
        <v>313</v>
      </c>
      <c r="C10" s="26" t="n">
        <f aca="false">C9/Structure!$C$11</f>
        <v>2.25</v>
      </c>
      <c r="D10" s="26" t="n">
        <f aca="false">D9/Structure!$C$11</f>
        <v>2.25</v>
      </c>
      <c r="F10" s="3"/>
    </row>
    <row r="11" customFormat="false" ht="15" hidden="false" customHeight="false" outlineLevel="0" collapsed="false">
      <c r="A11" s="39" t="s">
        <v>314</v>
      </c>
      <c r="C11" s="25" t="n">
        <f aca="false">C7-C9</f>
        <v>0.066</v>
      </c>
      <c r="D11" s="25" t="n">
        <f aca="false">D7-D9</f>
        <v>0.026</v>
      </c>
      <c r="F11" s="3"/>
    </row>
    <row r="12" customFormat="false" ht="15" hidden="false" customHeight="false" outlineLevel="0" collapsed="false">
      <c r="A12" s="36" t="s">
        <v>315</v>
      </c>
      <c r="C12" s="19" t="n">
        <f aca="false">Structure!$C$49/'Stressed case'!$B$6</f>
        <v>0.0177083333333333</v>
      </c>
      <c r="D12" s="19" t="n">
        <f aca="false">Structure!$C$49/'Stressed case'!$B$6</f>
        <v>0.0177083333333333</v>
      </c>
      <c r="F12" s="3"/>
    </row>
    <row r="13" customFormat="false" ht="15" hidden="false" customHeight="false" outlineLevel="0" collapsed="false">
      <c r="A13" s="36" t="s">
        <v>316</v>
      </c>
      <c r="C13" s="19" t="n">
        <f aca="false">C11-C12</f>
        <v>0.0482916666666667</v>
      </c>
      <c r="D13" s="19" t="n">
        <f aca="false">D11-D12</f>
        <v>0.00829166666666663</v>
      </c>
      <c r="F13" s="3"/>
    </row>
    <row r="14" customFormat="false" ht="15" hidden="false" customHeight="false" outlineLevel="0" collapsed="false">
      <c r="A14" s="39" t="s">
        <v>317</v>
      </c>
      <c r="C14" s="39" t="str">
        <f aca="false">IF(C13&gt;=0,"yes","no")</f>
        <v>yes</v>
      </c>
      <c r="D14" s="39" t="str">
        <f aca="false">IF(D13&gt;=0,"yes","no")</f>
        <v>yes</v>
      </c>
      <c r="F14" s="3"/>
    </row>
    <row r="16" customFormat="false" ht="15" hidden="false" customHeight="false" outlineLevel="0" collapsed="false">
      <c r="A16" s="5" t="s">
        <v>318</v>
      </c>
    </row>
    <row r="17" customFormat="false" ht="15" hidden="false" customHeight="true" outlineLevel="0" collapsed="false">
      <c r="A17" s="36" t="s">
        <v>319</v>
      </c>
      <c r="C17" s="28" t="n">
        <f aca="false">Structure!C6*12</f>
        <v>24</v>
      </c>
      <c r="F17" s="3" t="s">
        <v>320</v>
      </c>
    </row>
    <row r="18" customFormat="false" ht="15" hidden="false" customHeight="false" outlineLevel="0" collapsed="false">
      <c r="A18" s="36" t="s">
        <v>321</v>
      </c>
      <c r="C18" s="30" t="n">
        <v>22</v>
      </c>
      <c r="F18" s="3"/>
    </row>
    <row r="19" customFormat="false" ht="15" hidden="false" customHeight="false" outlineLevel="0" collapsed="false">
      <c r="A19" s="36" t="s">
        <v>322</v>
      </c>
      <c r="C19" s="44" t="s">
        <v>323</v>
      </c>
      <c r="F19" s="3"/>
    </row>
    <row r="20" customFormat="false" ht="15" hidden="false" customHeight="false" outlineLevel="0" collapsed="false">
      <c r="A20" s="39" t="s">
        <v>324</v>
      </c>
      <c r="C20" s="31" t="n">
        <f aca="false">C17-C18</f>
        <v>2</v>
      </c>
      <c r="F20" s="3"/>
    </row>
    <row r="21" customFormat="false" ht="15" hidden="false" customHeight="false" outlineLevel="0" collapsed="false">
      <c r="A21" s="36" t="s">
        <v>325</v>
      </c>
      <c r="C21" s="41" t="n">
        <f aca="false">'Stressed case'!B14</f>
        <v>0.054</v>
      </c>
      <c r="F21" s="3"/>
    </row>
    <row r="22" customFormat="false" ht="15" hidden="false" customHeight="false" outlineLevel="0" collapsed="false">
      <c r="A22" s="36" t="s">
        <v>326</v>
      </c>
      <c r="C22" s="41" t="n">
        <f aca="false">Structure!C42</f>
        <v>0.06</v>
      </c>
      <c r="F22" s="3"/>
    </row>
    <row r="23" customFormat="false" ht="15" hidden="false" customHeight="false" outlineLevel="0" collapsed="false">
      <c r="A23" s="39" t="s">
        <v>327</v>
      </c>
      <c r="C23" s="39" t="str">
        <f aca="false">IF(C21&gt;=C22,"yes","never: the loss peaks below it")</f>
        <v>never: the loss peaks below it</v>
      </c>
      <c r="F23" s="3"/>
    </row>
    <row r="24" customFormat="false" ht="15" hidden="false" customHeight="false" outlineLevel="0" collapsed="false">
      <c r="A24" s="36" t="s">
        <v>14</v>
      </c>
      <c r="C24" s="59" t="n">
        <f aca="false">Screening!C10</f>
        <v>31</v>
      </c>
      <c r="F24" s="3"/>
    </row>
    <row r="25" customFormat="false" ht="15" hidden="false" customHeight="false" outlineLevel="0" collapsed="false">
      <c r="A25" s="36" t="s">
        <v>328</v>
      </c>
      <c r="C25" s="28" t="n">
        <f aca="false">C20*C24</f>
        <v>62</v>
      </c>
      <c r="F25" s="3"/>
    </row>
    <row r="26" customFormat="false" ht="15" hidden="false" customHeight="false" outlineLevel="0" collapsed="false">
      <c r="A26" s="36" t="s">
        <v>329</v>
      </c>
      <c r="C26" s="28" t="n">
        <f aca="false">12*C24</f>
        <v>372</v>
      </c>
      <c r="F26" s="3"/>
    </row>
    <row r="27" customFormat="false" ht="15" hidden="false" customHeight="false" outlineLevel="0" collapsed="false">
      <c r="A27" s="36" t="s">
        <v>330</v>
      </c>
      <c r="C27" s="59" t="n">
        <f aca="false">'Eighteen months'!C38</f>
        <v>16</v>
      </c>
      <c r="F27" s="3"/>
    </row>
    <row r="28" customFormat="false" ht="15" hidden="false" customHeight="false" outlineLevel="0" collapsed="false">
      <c r="A28" s="36" t="s">
        <v>331</v>
      </c>
      <c r="C28" s="30" t="n">
        <v>19</v>
      </c>
      <c r="F28" s="3"/>
    </row>
    <row r="30" customFormat="false" ht="15" hidden="false" customHeight="false" outlineLevel="0" collapsed="false">
      <c r="A30" s="5" t="s">
        <v>332</v>
      </c>
    </row>
    <row r="31" customFormat="false" ht="15" hidden="false" customHeight="true" outlineLevel="0" collapsed="false">
      <c r="A31" s="36" t="s">
        <v>99</v>
      </c>
      <c r="C31" s="63" t="n">
        <f aca="false">Diligence!C45</f>
        <v>4</v>
      </c>
      <c r="F31" s="3" t="s">
        <v>333</v>
      </c>
    </row>
    <row r="32" customFormat="false" ht="15" hidden="false" customHeight="false" outlineLevel="0" collapsed="false">
      <c r="A32" s="36" t="s">
        <v>334</v>
      </c>
      <c r="C32" s="64" t="n">
        <f aca="false">'Eighteen months'!C22/1000000</f>
        <v>0.8</v>
      </c>
      <c r="F32" s="3"/>
    </row>
    <row r="33" customFormat="false" ht="15" hidden="false" customHeight="false" outlineLevel="0" collapsed="false">
      <c r="A33" s="39" t="s">
        <v>335</v>
      </c>
      <c r="C33" s="61" t="n">
        <f aca="false">C31/(C32/3)</f>
        <v>15</v>
      </c>
      <c r="F33" s="3"/>
    </row>
    <row r="34" customFormat="false" ht="15" hidden="false" customHeight="false" outlineLevel="0" collapsed="false">
      <c r="A34" s="36" t="s">
        <v>336</v>
      </c>
      <c r="C34" s="28" t="n">
        <f aca="false">C27+C33</f>
        <v>31</v>
      </c>
      <c r="F34" s="3"/>
    </row>
    <row r="35" customFormat="false" ht="15" hidden="false" customHeight="false" outlineLevel="0" collapsed="false">
      <c r="A35" s="36" t="s">
        <v>337</v>
      </c>
      <c r="C35" s="28" t="n">
        <f aca="false">C18</f>
        <v>22</v>
      </c>
      <c r="F35" s="3"/>
    </row>
    <row r="36" customFormat="false" ht="15" hidden="false" customHeight="false" outlineLevel="0" collapsed="false">
      <c r="A36" s="36" t="s">
        <v>338</v>
      </c>
      <c r="C36" s="60" t="n">
        <f aca="false">(C35-C27)/3*C32</f>
        <v>1.6</v>
      </c>
      <c r="F36" s="3"/>
    </row>
    <row r="37" customFormat="false" ht="15" hidden="false" customHeight="false" outlineLevel="0" collapsed="false">
      <c r="A37" s="39" t="s">
        <v>339</v>
      </c>
      <c r="C37" s="61" t="n">
        <f aca="false">C31-C36</f>
        <v>2.4</v>
      </c>
      <c r="F37" s="3"/>
    </row>
  </sheetData>
  <mergeCells count="3">
    <mergeCell ref="F6:F14"/>
    <mergeCell ref="F17:F28"/>
    <mergeCell ref="F31:F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340</v>
      </c>
    </row>
    <row r="2" customFormat="false" ht="15" hidden="false" customHeight="false" outlineLevel="0" collapsed="false">
      <c r="A2" s="2" t="s">
        <v>341</v>
      </c>
    </row>
    <row r="4" customFormat="false" ht="27.75" hidden="false" customHeight="true" outlineLevel="0" collapsed="false">
      <c r="A4" s="13" t="s">
        <v>342</v>
      </c>
      <c r="B4" s="14" t="s">
        <v>343</v>
      </c>
      <c r="C4" s="14" t="s">
        <v>344</v>
      </c>
      <c r="D4" s="14" t="s">
        <v>345</v>
      </c>
      <c r="E4" s="14" t="s">
        <v>346</v>
      </c>
      <c r="F4" s="14" t="s">
        <v>208</v>
      </c>
      <c r="H4" s="5" t="s">
        <v>347</v>
      </c>
    </row>
    <row r="5" customFormat="false" ht="15" hidden="false" customHeight="true" outlineLevel="0" collapsed="false">
      <c r="A5" s="65" t="s">
        <v>348</v>
      </c>
      <c r="B5" s="38" t="s">
        <v>349</v>
      </c>
      <c r="C5" s="66" t="n">
        <v>1</v>
      </c>
      <c r="D5" s="67" t="n">
        <f aca="false">Screening!C23</f>
        <v>1</v>
      </c>
      <c r="E5" s="68" t="n">
        <f aca="false">D5-C5</f>
        <v>0</v>
      </c>
      <c r="F5" s="69" t="str">
        <f aca="false">IF(ABS(E5)&lt;=0.0001,"reproduced",IF(ABS(E5)&lt;=0.0001*5,"rounding","CHECK"))</f>
        <v>reproduced</v>
      </c>
      <c r="H5" s="3" t="s">
        <v>350</v>
      </c>
    </row>
    <row r="6" customFormat="false" ht="15" hidden="false" customHeight="false" outlineLevel="0" collapsed="false">
      <c r="A6" s="70" t="s">
        <v>348</v>
      </c>
      <c r="B6" s="71" t="s">
        <v>351</v>
      </c>
      <c r="C6" s="72" t="n">
        <v>1</v>
      </c>
      <c r="D6" s="73" t="n">
        <f aca="false">Screening!C38</f>
        <v>1</v>
      </c>
      <c r="E6" s="74" t="n">
        <f aca="false">D6-C6</f>
        <v>0</v>
      </c>
      <c r="F6" s="75" t="str">
        <f aca="false">IF(ABS(E6)&lt;=0.0001,"reproduced",IF(ABS(E6)&lt;=0.0001*5,"rounding","CHECK"))</f>
        <v>reproduced</v>
      </c>
      <c r="H6" s="3"/>
    </row>
    <row r="7" customFormat="false" ht="15" hidden="false" customHeight="false" outlineLevel="0" collapsed="false">
      <c r="A7" s="65" t="s">
        <v>348</v>
      </c>
      <c r="B7" s="38" t="s">
        <v>352</v>
      </c>
      <c r="C7" s="76" t="n">
        <v>2.318182</v>
      </c>
      <c r="D7" s="77" t="n">
        <f aca="false">Screening!C46</f>
        <v>2.31818181818182</v>
      </c>
      <c r="E7" s="78" t="n">
        <f aca="false">D7-C7</f>
        <v>-1.81818181843596E-007</v>
      </c>
      <c r="F7" s="69" t="str">
        <f aca="false">IF(ABS(E7)&lt;=0.05,"reproduced",IF(ABS(E7)&lt;=0.05*5,"rounding","CHECK"))</f>
        <v>reproduced</v>
      </c>
      <c r="H7" s="3"/>
    </row>
    <row r="8" customFormat="false" ht="15" hidden="false" customHeight="false" outlineLevel="0" collapsed="false">
      <c r="A8" s="70" t="s">
        <v>348</v>
      </c>
      <c r="B8" s="71" t="s">
        <v>353</v>
      </c>
      <c r="C8" s="79" t="n">
        <v>3.636364</v>
      </c>
      <c r="D8" s="80" t="n">
        <f aca="false">Screening!C48</f>
        <v>3.63636363636364</v>
      </c>
      <c r="E8" s="81" t="n">
        <f aca="false">D8-C8</f>
        <v>-3.63636363243103E-007</v>
      </c>
      <c r="F8" s="75" t="str">
        <f aca="false">IF(ABS(E8)&lt;=0.05,"reproduced",IF(ABS(E8)&lt;=0.05*5,"rounding","CHECK"))</f>
        <v>reproduced</v>
      </c>
      <c r="H8" s="3"/>
    </row>
    <row r="9" customFormat="false" ht="15" hidden="false" customHeight="false" outlineLevel="0" collapsed="false">
      <c r="A9" s="65" t="s">
        <v>348</v>
      </c>
      <c r="B9" s="38" t="s">
        <v>354</v>
      </c>
      <c r="C9" s="66" t="n">
        <v>0.06</v>
      </c>
      <c r="D9" s="67" t="n">
        <f aca="false">Structure!C13</f>
        <v>0.06</v>
      </c>
      <c r="E9" s="68" t="n">
        <f aca="false">D9-C9</f>
        <v>0</v>
      </c>
      <c r="F9" s="69" t="str">
        <f aca="false">IF(ABS(E9)&lt;=0.0005,"reproduced",IF(ABS(E9)&lt;=0.0005*5,"rounding","CHECK"))</f>
        <v>reproduced</v>
      </c>
      <c r="H9" s="3"/>
    </row>
    <row r="10" customFormat="false" ht="15" hidden="false" customHeight="false" outlineLevel="0" collapsed="false">
      <c r="A10" s="70" t="s">
        <v>348</v>
      </c>
      <c r="B10" s="71" t="s">
        <v>355</v>
      </c>
      <c r="C10" s="72" t="n">
        <v>0.075</v>
      </c>
      <c r="D10" s="73" t="n">
        <f aca="false">Structure!C15</f>
        <v>0.075</v>
      </c>
      <c r="E10" s="74" t="n">
        <f aca="false">D10-C10</f>
        <v>0</v>
      </c>
      <c r="F10" s="75" t="str">
        <f aca="false">IF(ABS(E10)&lt;=0.0005,"reproduced",IF(ABS(E10)&lt;=0.0005*5,"rounding","CHECK"))</f>
        <v>reproduced</v>
      </c>
      <c r="H10" s="3"/>
    </row>
    <row r="11" customFormat="false" ht="15" hidden="false" customHeight="false" outlineLevel="0" collapsed="false">
      <c r="A11" s="65" t="s">
        <v>348</v>
      </c>
      <c r="B11" s="38" t="s">
        <v>356</v>
      </c>
      <c r="C11" s="66" t="n">
        <v>0.12</v>
      </c>
      <c r="D11" s="67" t="n">
        <f aca="false">Structure!C18</f>
        <v>0.12</v>
      </c>
      <c r="E11" s="68" t="n">
        <f aca="false">D11-C11</f>
        <v>0</v>
      </c>
      <c r="F11" s="69" t="str">
        <f aca="false">IF(ABS(E11)&lt;=0.0005,"reproduced",IF(ABS(E11)&lt;=0.0005*5,"rounding","CHECK"))</f>
        <v>reproduced</v>
      </c>
      <c r="H11" s="3"/>
    </row>
    <row r="12" customFormat="false" ht="15" hidden="false" customHeight="false" outlineLevel="0" collapsed="false">
      <c r="A12" s="70" t="s">
        <v>348</v>
      </c>
      <c r="B12" s="71" t="s">
        <v>357</v>
      </c>
      <c r="C12" s="79" t="n">
        <v>5</v>
      </c>
      <c r="D12" s="80" t="n">
        <f aca="false">Structure!C19</f>
        <v>5</v>
      </c>
      <c r="E12" s="81" t="n">
        <f aca="false">D12-C12</f>
        <v>0</v>
      </c>
      <c r="F12" s="75" t="str">
        <f aca="false">IF(ABS(E12)&lt;=0.05,"reproduced",IF(ABS(E12)&lt;=0.05*5,"rounding","CHECK"))</f>
        <v>reproduced</v>
      </c>
      <c r="H12" s="3"/>
    </row>
    <row r="13" customFormat="false" ht="15" hidden="false" customHeight="false" outlineLevel="0" collapsed="false">
      <c r="A13" s="65" t="s">
        <v>348</v>
      </c>
      <c r="B13" s="38" t="s">
        <v>358</v>
      </c>
      <c r="C13" s="66" t="n">
        <v>0.08</v>
      </c>
      <c r="D13" s="67" t="n">
        <f aca="false">1-Structure!C17</f>
        <v>0.08</v>
      </c>
      <c r="E13" s="68" t="n">
        <f aca="false">D13-C13</f>
        <v>0</v>
      </c>
      <c r="F13" s="69" t="str">
        <f aca="false">IF(ABS(E13)&lt;=0.0005,"reproduced",IF(ABS(E13)&lt;=0.0005*5,"rounding","CHECK"))</f>
        <v>reproduced</v>
      </c>
      <c r="H13" s="3"/>
    </row>
    <row r="14" customFormat="false" ht="15" hidden="false" customHeight="false" outlineLevel="0" collapsed="false">
      <c r="A14" s="70" t="s">
        <v>348</v>
      </c>
      <c r="B14" s="71" t="s">
        <v>359</v>
      </c>
      <c r="C14" s="82" t="n">
        <v>1</v>
      </c>
      <c r="D14" s="83" t="n">
        <f aca="false">IF(Structure!C44="yes",1,0)</f>
        <v>1</v>
      </c>
      <c r="E14" s="84" t="n">
        <f aca="false">D14-C14</f>
        <v>0</v>
      </c>
      <c r="F14" s="75" t="str">
        <f aca="false">IF(ABS(E14)&lt;=0.0001,"reproduced",IF(ABS(E14)&lt;=0.0001*5,"rounding","CHECK"))</f>
        <v>reproduced</v>
      </c>
      <c r="H14" s="3"/>
    </row>
    <row r="15" customFormat="false" ht="15" hidden="false" customHeight="false" outlineLevel="0" collapsed="false">
      <c r="A15" s="65" t="s">
        <v>348</v>
      </c>
      <c r="B15" s="38" t="s">
        <v>360</v>
      </c>
      <c r="C15" s="66" t="n">
        <v>0.02</v>
      </c>
      <c r="D15" s="67" t="n">
        <f aca="false">Structure!C31-Structure!C30</f>
        <v>0.02</v>
      </c>
      <c r="E15" s="68" t="n">
        <f aca="false">D15-C15</f>
        <v>0</v>
      </c>
      <c r="F15" s="69" t="str">
        <f aca="false">IF(ABS(E15)&lt;=0.0005,"reproduced",IF(ABS(E15)&lt;=0.0005*5,"rounding","CHECK"))</f>
        <v>reproduced</v>
      </c>
      <c r="H15" s="3"/>
    </row>
    <row r="16" customFormat="false" ht="15" hidden="false" customHeight="false" outlineLevel="0" collapsed="false">
      <c r="A16" s="70" t="s">
        <v>348</v>
      </c>
      <c r="B16" s="71" t="s">
        <v>361</v>
      </c>
      <c r="C16" s="85" t="n">
        <v>7.7</v>
      </c>
      <c r="D16" s="86" t="n">
        <f aca="false">Structure!C57</f>
        <v>7.7</v>
      </c>
      <c r="E16" s="87" t="n">
        <f aca="false">D16-C16</f>
        <v>0</v>
      </c>
      <c r="F16" s="75" t="str">
        <f aca="false">IF(ABS(E16)&lt;=0.05,"reproduced",IF(ABS(E16)&lt;=0.05*5,"rounding","CHECK"))</f>
        <v>reproduced</v>
      </c>
      <c r="H16" s="3"/>
    </row>
    <row r="17" customFormat="false" ht="15" hidden="false" customHeight="false" outlineLevel="0" collapsed="false">
      <c r="A17" s="65" t="s">
        <v>348</v>
      </c>
      <c r="B17" s="38" t="s">
        <v>362</v>
      </c>
      <c r="C17" s="88" t="n">
        <v>2.5</v>
      </c>
      <c r="D17" s="89" t="n">
        <f aca="false">Structure!C60</f>
        <v>2.5</v>
      </c>
      <c r="E17" s="90" t="n">
        <f aca="false">D17-C17</f>
        <v>0</v>
      </c>
      <c r="F17" s="69" t="str">
        <f aca="false">IF(ABS(E17)&lt;=0.05,"reproduced",IF(ABS(E17)&lt;=0.05*5,"rounding","CHECK"))</f>
        <v>reproduced</v>
      </c>
      <c r="H17" s="3"/>
    </row>
    <row r="18" customFormat="false" ht="15" hidden="false" customHeight="false" outlineLevel="0" collapsed="false">
      <c r="A18" s="70" t="s">
        <v>348</v>
      </c>
      <c r="B18" s="71" t="s">
        <v>363</v>
      </c>
      <c r="C18" s="85" t="n">
        <v>0.24</v>
      </c>
      <c r="D18" s="86" t="n">
        <f aca="false">Structure!C61</f>
        <v>0.24</v>
      </c>
      <c r="E18" s="87" t="n">
        <f aca="false">D18-C18</f>
        <v>0</v>
      </c>
      <c r="F18" s="75" t="str">
        <f aca="false">IF(ABS(E18)&lt;=0.005,"reproduced",IF(ABS(E18)&lt;=0.005*5,"rounding","CHECK"))</f>
        <v>reproduced</v>
      </c>
      <c r="H18" s="3"/>
    </row>
    <row r="19" customFormat="false" ht="15" hidden="false" customHeight="false" outlineLevel="0" collapsed="false">
      <c r="A19" s="65" t="s">
        <v>348</v>
      </c>
      <c r="B19" s="38" t="s">
        <v>364</v>
      </c>
      <c r="C19" s="88" t="n">
        <v>168</v>
      </c>
      <c r="D19" s="89" t="n">
        <f aca="false">'Eighteen months'!B7</f>
        <v>168</v>
      </c>
      <c r="E19" s="90" t="n">
        <f aca="false">D19-C19</f>
        <v>0</v>
      </c>
      <c r="F19" s="69" t="str">
        <f aca="false">IF(ABS(E19)&lt;=0.5,"reproduced",IF(ABS(E19)&lt;=0.5*5,"rounding","CHECK"))</f>
        <v>reproduced</v>
      </c>
      <c r="H19" s="3"/>
    </row>
    <row r="20" customFormat="false" ht="15" hidden="false" customHeight="false" outlineLevel="0" collapsed="false">
      <c r="A20" s="70" t="s">
        <v>348</v>
      </c>
      <c r="B20" s="71" t="s">
        <v>365</v>
      </c>
      <c r="C20" s="82" t="n">
        <v>16</v>
      </c>
      <c r="D20" s="83" t="n">
        <f aca="false">'Eighteen months'!C38</f>
        <v>16</v>
      </c>
      <c r="E20" s="84" t="n">
        <f aca="false">D20-C20</f>
        <v>0</v>
      </c>
      <c r="F20" s="75" t="str">
        <f aca="false">IF(ABS(E20)&lt;=0.0001,"reproduced",IF(ABS(E20)&lt;=0.0001*5,"rounding","CHECK"))</f>
        <v>reproduced</v>
      </c>
      <c r="H20" s="3"/>
    </row>
    <row r="21" customFormat="false" ht="15" hidden="false" customHeight="false" outlineLevel="0" collapsed="false">
      <c r="A21" s="65" t="s">
        <v>348</v>
      </c>
      <c r="B21" s="38" t="s">
        <v>366</v>
      </c>
      <c r="C21" s="91" t="n">
        <v>1</v>
      </c>
      <c r="D21" s="92" t="n">
        <f aca="false">IF('Eighteen months'!F19="fires",1,0)</f>
        <v>1</v>
      </c>
      <c r="E21" s="93" t="n">
        <f aca="false">D21-C21</f>
        <v>0</v>
      </c>
      <c r="F21" s="69" t="str">
        <f aca="false">IF(ABS(E21)&lt;=0.0001,"reproduced",IF(ABS(E21)&lt;=0.0001*5,"rounding","CHECK"))</f>
        <v>reproduced</v>
      </c>
      <c r="H21" s="3"/>
    </row>
    <row r="22" customFormat="false" ht="15" hidden="false" customHeight="false" outlineLevel="0" collapsed="false">
      <c r="A22" s="70" t="s">
        <v>348</v>
      </c>
      <c r="B22" s="71" t="s">
        <v>367</v>
      </c>
      <c r="C22" s="82" t="n">
        <v>1</v>
      </c>
      <c r="D22" s="83" t="n">
        <f aca="false">IF('Eighteen months'!F18="inside",1,0)</f>
        <v>1</v>
      </c>
      <c r="E22" s="84" t="n">
        <f aca="false">D22-C22</f>
        <v>0</v>
      </c>
      <c r="F22" s="75" t="str">
        <f aca="false">IF(ABS(E22)&lt;=0.0001,"reproduced",IF(ABS(E22)&lt;=0.0001*5,"rounding","CHECK"))</f>
        <v>reproduced</v>
      </c>
      <c r="H22" s="3"/>
    </row>
    <row r="23" customFormat="false" ht="15" hidden="false" customHeight="false" outlineLevel="0" collapsed="false">
      <c r="A23" s="65" t="s">
        <v>348</v>
      </c>
      <c r="B23" s="38" t="s">
        <v>368</v>
      </c>
      <c r="C23" s="94" t="n">
        <v>3200000</v>
      </c>
      <c r="D23" s="95" t="n">
        <f aca="false">'Eighteen months'!C23</f>
        <v>3200000</v>
      </c>
      <c r="E23" s="96" t="n">
        <f aca="false">D23-C23</f>
        <v>0</v>
      </c>
      <c r="F23" s="69" t="str">
        <f aca="false">IF(ABS(E23)&lt;=50000,"reproduced",IF(ABS(E23)&lt;=50000*5,"rounding","CHECK"))</f>
        <v>reproduced</v>
      </c>
      <c r="H23" s="3"/>
    </row>
    <row r="24" customFormat="false" ht="15" hidden="false" customHeight="false" outlineLevel="0" collapsed="false">
      <c r="A24" s="70" t="s">
        <v>348</v>
      </c>
      <c r="B24" s="71" t="s">
        <v>369</v>
      </c>
      <c r="C24" s="79" t="n">
        <v>2.5</v>
      </c>
      <c r="D24" s="80" t="n">
        <f aca="false">'Eighteen months'!C25</f>
        <v>2.5</v>
      </c>
      <c r="E24" s="81" t="n">
        <f aca="false">D24-C24</f>
        <v>0</v>
      </c>
      <c r="F24" s="75" t="str">
        <f aca="false">IF(ABS(E24)&lt;=0.05,"reproduced",IF(ABS(E24)&lt;=0.05*5,"rounding","CHECK"))</f>
        <v>reproduced</v>
      </c>
      <c r="H24" s="3"/>
    </row>
    <row r="25" customFormat="false" ht="15" hidden="false" customHeight="false" outlineLevel="0" collapsed="false">
      <c r="A25" s="65" t="s">
        <v>348</v>
      </c>
      <c r="B25" s="38" t="s">
        <v>370</v>
      </c>
      <c r="C25" s="94" t="n">
        <v>4</v>
      </c>
      <c r="D25" s="95" t="n">
        <f aca="false">Diligence!C45</f>
        <v>4</v>
      </c>
      <c r="E25" s="96" t="n">
        <f aca="false">D25-C25</f>
        <v>0</v>
      </c>
      <c r="F25" s="69" t="str">
        <f aca="false">IF(ABS(E25)&lt;=0.5,"reproduced",IF(ABS(E25)&lt;=0.5*5,"rounding","CHECK"))</f>
        <v>reproduced</v>
      </c>
      <c r="H25" s="3"/>
    </row>
    <row r="26" customFormat="false" ht="15" hidden="false" customHeight="false" outlineLevel="0" collapsed="false">
      <c r="A26" s="70" t="s">
        <v>348</v>
      </c>
      <c r="B26" s="71" t="s">
        <v>371</v>
      </c>
      <c r="C26" s="97" t="n">
        <v>8</v>
      </c>
      <c r="D26" s="98" t="n">
        <f aca="false">Diligence!C46</f>
        <v>8</v>
      </c>
      <c r="E26" s="99" t="n">
        <f aca="false">D26-C26</f>
        <v>0</v>
      </c>
      <c r="F26" s="75" t="str">
        <f aca="false">IF(ABS(E26)&lt;=0.5,"reproduced",IF(ABS(E26)&lt;=0.5*5,"rounding","CHECK"))</f>
        <v>reproduced</v>
      </c>
      <c r="H26" s="3"/>
    </row>
    <row r="27" customFormat="false" ht="15" hidden="false" customHeight="false" outlineLevel="0" collapsed="false">
      <c r="A27" s="65" t="s">
        <v>348</v>
      </c>
      <c r="B27" s="38" t="s">
        <v>372</v>
      </c>
      <c r="C27" s="66" t="n">
        <v>0.09</v>
      </c>
      <c r="D27" s="67" t="n">
        <f aca="false">Diligence!C25</f>
        <v>0.09</v>
      </c>
      <c r="E27" s="68" t="n">
        <f aca="false">D27-C27</f>
        <v>0</v>
      </c>
      <c r="F27" s="69" t="str">
        <f aca="false">IF(ABS(E27)&lt;=0.005,"reproduced",IF(ABS(E27)&lt;=0.005*5,"rounding","CHECK"))</f>
        <v>reproduced</v>
      </c>
    </row>
    <row r="28" customFormat="false" ht="15" hidden="false" customHeight="false" outlineLevel="0" collapsed="false">
      <c r="A28" s="70" t="s">
        <v>348</v>
      </c>
      <c r="B28" s="71" t="s">
        <v>373</v>
      </c>
      <c r="C28" s="100" t="n">
        <v>0.05</v>
      </c>
      <c r="D28" s="101" t="n">
        <f aca="false">Diligence!D15</f>
        <v>0.05</v>
      </c>
      <c r="E28" s="102" t="n">
        <f aca="false">D28-C28</f>
        <v>0</v>
      </c>
      <c r="F28" s="75" t="str">
        <f aca="false">IF(ABS(E28)&lt;=0.0005,"reproduced",IF(ABS(E28)&lt;=0.0005*5,"rounding","CHECK"))</f>
        <v>reproduced</v>
      </c>
    </row>
    <row r="29" customFormat="false" ht="15" hidden="false" customHeight="false" outlineLevel="0" collapsed="false">
      <c r="A29" s="65" t="s">
        <v>348</v>
      </c>
      <c r="B29" s="38" t="s">
        <v>374</v>
      </c>
      <c r="C29" s="88" t="n">
        <v>17</v>
      </c>
      <c r="D29" s="89" t="n">
        <f aca="false">Diligence!C8</f>
        <v>17</v>
      </c>
      <c r="E29" s="90" t="n">
        <f aca="false">D29-C29</f>
        <v>0</v>
      </c>
      <c r="F29" s="69" t="str">
        <f aca="false">IF(ABS(E29)&lt;=0.5,"reproduced",IF(ABS(E29)&lt;=0.5*5,"rounding","CHECK"))</f>
        <v>reproduced</v>
      </c>
    </row>
    <row r="30" customFormat="false" ht="15" hidden="false" customHeight="false" outlineLevel="0" collapsed="false">
      <c r="A30" s="70" t="s">
        <v>348</v>
      </c>
      <c r="B30" s="71" t="s">
        <v>375</v>
      </c>
      <c r="C30" s="72" t="n">
        <v>0.85</v>
      </c>
      <c r="D30" s="73" t="n">
        <f aca="false">'Stressed case'!B7</f>
        <v>0.85</v>
      </c>
      <c r="E30" s="74" t="n">
        <f aca="false">D30-C30</f>
        <v>0</v>
      </c>
      <c r="F30" s="75" t="str">
        <f aca="false">IF(ABS(E30)&lt;=0.0005,"reproduced",IF(ABS(E30)&lt;=0.0005*5,"rounding","CHECK"))</f>
        <v>reproduced</v>
      </c>
    </row>
    <row r="31" customFormat="false" ht="15" hidden="false" customHeight="false" outlineLevel="0" collapsed="false">
      <c r="A31" s="65" t="s">
        <v>348</v>
      </c>
      <c r="B31" s="38" t="s">
        <v>376</v>
      </c>
      <c r="C31" s="91" t="n">
        <v>1</v>
      </c>
      <c r="D31" s="92" t="n">
        <f aca="false">IF('Stressed case'!B27="senior repaid in full",1,0)</f>
        <v>1</v>
      </c>
      <c r="E31" s="93" t="n">
        <f aca="false">D31-C31</f>
        <v>0</v>
      </c>
      <c r="F31" s="69" t="str">
        <f aca="false">IF(ABS(E31)&lt;=0.0001,"reproduced",IF(ABS(E31)&lt;=0.0001*5,"rounding","CHECK"))</f>
        <v>reproduced</v>
      </c>
    </row>
    <row r="32" customFormat="false" ht="15" hidden="false" customHeight="false" outlineLevel="0" collapsed="false">
      <c r="A32" s="70" t="s">
        <v>348</v>
      </c>
      <c r="B32" s="71" t="s">
        <v>238</v>
      </c>
      <c r="C32" s="100" t="n">
        <v>0.066</v>
      </c>
      <c r="D32" s="101" t="n">
        <f aca="false">'Stressed case'!B28</f>
        <v>0.066</v>
      </c>
      <c r="E32" s="102" t="n">
        <f aca="false">D32-C32</f>
        <v>0</v>
      </c>
      <c r="F32" s="75" t="str">
        <f aca="false">IF(ABS(E32)&lt;=0.0005,"reproduced",IF(ABS(E32)&lt;=0.0005*5,"rounding","CHECK"))</f>
        <v>reproduced</v>
      </c>
    </row>
    <row r="33" customFormat="false" ht="15" hidden="false" customHeight="false" outlineLevel="0" collapsed="false">
      <c r="A33" s="65" t="s">
        <v>348</v>
      </c>
      <c r="B33" s="38" t="s">
        <v>377</v>
      </c>
      <c r="C33" s="76" t="n">
        <v>2.25</v>
      </c>
      <c r="D33" s="77" t="n">
        <f aca="false">'Stressed case'!B14/Structure!C11</f>
        <v>2.25</v>
      </c>
      <c r="E33" s="78" t="n">
        <f aca="false">D33-C33</f>
        <v>0</v>
      </c>
      <c r="F33" s="69" t="str">
        <f aca="false">IF(ABS(E33)&lt;=0.05,"reproduced",IF(ABS(E33)&lt;=0.05*5,"rounding","CHECK"))</f>
        <v>reproduced</v>
      </c>
    </row>
    <row r="34" customFormat="false" ht="15" hidden="false" customHeight="false" outlineLevel="0" collapsed="false">
      <c r="A34" s="70" t="s">
        <v>348</v>
      </c>
      <c r="B34" s="71" t="s">
        <v>378</v>
      </c>
      <c r="C34" s="72" t="n">
        <v>0.6</v>
      </c>
      <c r="D34" s="73" t="n">
        <f aca="false">'Stressed case'!B22</f>
        <v>0.579273551286544</v>
      </c>
      <c r="E34" s="74" t="n">
        <f aca="false">D34-C34</f>
        <v>-0.0207264487134562</v>
      </c>
      <c r="F34" s="75" t="str">
        <f aca="false">IF(ABS(E34)&lt;=0.05,"reproduced",IF(ABS(E34)&lt;=0.05*5,"rounding","CHECK"))</f>
        <v>reproduced</v>
      </c>
    </row>
    <row r="35" customFormat="false" ht="15" hidden="false" customHeight="false" outlineLevel="0" collapsed="false">
      <c r="A35" s="65" t="s">
        <v>348</v>
      </c>
      <c r="B35" s="38" t="s">
        <v>379</v>
      </c>
      <c r="C35" s="91" t="n">
        <v>1</v>
      </c>
      <c r="D35" s="92" t="n">
        <f aca="false">IF('Stressed case'!B23&lt;=0.15,1,0)</f>
        <v>1</v>
      </c>
      <c r="E35" s="93" t="n">
        <f aca="false">D35-C35</f>
        <v>0</v>
      </c>
      <c r="F35" s="69" t="str">
        <f aca="false">IF(ABS(E35)&lt;=0.0001,"reproduced",IF(ABS(E35)&lt;=0.0001*5,"rounding","CHECK"))</f>
        <v>reproduced</v>
      </c>
    </row>
    <row r="36" customFormat="false" ht="15" hidden="false" customHeight="false" outlineLevel="0" collapsed="false">
      <c r="A36" s="70" t="s">
        <v>348</v>
      </c>
      <c r="B36" s="71" t="s">
        <v>380</v>
      </c>
      <c r="C36" s="85" t="n">
        <v>197.6</v>
      </c>
      <c r="D36" s="86" t="n">
        <f aca="false">'Stressed case'!B6</f>
        <v>197.647058823529</v>
      </c>
      <c r="E36" s="87" t="n">
        <f aca="false">D36-C36</f>
        <v>0.0470588235294258</v>
      </c>
      <c r="F36" s="75" t="str">
        <f aca="false">IF(ABS(E36)&lt;=0.05,"reproduced",IF(ABS(E36)&lt;=0.05*5,"rounding","CHECK"))</f>
        <v>reproduced</v>
      </c>
    </row>
    <row r="37" customFormat="false" ht="15" hidden="false" customHeight="false" outlineLevel="0" collapsed="false">
      <c r="A37" s="65" t="s">
        <v>348</v>
      </c>
      <c r="B37" s="38" t="s">
        <v>381</v>
      </c>
      <c r="C37" s="66" t="n">
        <v>0.026</v>
      </c>
      <c r="D37" s="67" t="n">
        <f aca="false">'What made the difference'!D11</f>
        <v>0.026</v>
      </c>
      <c r="E37" s="68" t="n">
        <f aca="false">D37-C37</f>
        <v>0</v>
      </c>
      <c r="F37" s="69" t="str">
        <f aca="false">IF(ABS(E37)&lt;=0.0005,"reproduced",IF(ABS(E37)&lt;=0.0005*5,"rounding","CHECK"))</f>
        <v>reproduced</v>
      </c>
      <c r="H37" s="103" t="s">
        <v>382</v>
      </c>
    </row>
    <row r="38" customFormat="false" ht="15" hidden="false" customHeight="false" outlineLevel="0" collapsed="false">
      <c r="A38" s="70" t="s">
        <v>348</v>
      </c>
      <c r="B38" s="71" t="s">
        <v>383</v>
      </c>
      <c r="C38" s="100" t="n">
        <v>0.0083</v>
      </c>
      <c r="D38" s="101" t="n">
        <f aca="false">'What made the difference'!D13</f>
        <v>0.00829166666666663</v>
      </c>
      <c r="E38" s="102" t="n">
        <f aca="false">D38-C38</f>
        <v>-8.33333333337231E-006</v>
      </c>
      <c r="F38" s="75" t="str">
        <f aca="false">IF(ABS(E38)&lt;=0.00005,"reproduced",IF(ABS(E38)&lt;=0.00005*5,"rounding","CHECK"))</f>
        <v>reproduced</v>
      </c>
      <c r="H38" s="103" t="s">
        <v>384</v>
      </c>
    </row>
    <row r="39" customFormat="false" ht="15" hidden="false" customHeight="false" outlineLevel="0" collapsed="false">
      <c r="A39" s="65" t="s">
        <v>348</v>
      </c>
      <c r="B39" s="38" t="s">
        <v>385</v>
      </c>
      <c r="C39" s="104" t="n">
        <v>3.3333</v>
      </c>
      <c r="D39" s="105" t="n">
        <f aca="false">'What made the difference'!D8</f>
        <v>3.33333333333333</v>
      </c>
      <c r="E39" s="106" t="n">
        <f aca="false">D39-C39</f>
        <v>3.33333333317754E-005</v>
      </c>
      <c r="F39" s="69" t="str">
        <f aca="false">IF(ABS(E39)&lt;=0.05,"reproduced",IF(ABS(E39)&lt;=0.05*5,"rounding","CHECK"))</f>
        <v>reproduced</v>
      </c>
    </row>
    <row r="40" customFormat="false" ht="15" hidden="false" customHeight="false" outlineLevel="0" collapsed="false">
      <c r="A40" s="70" t="s">
        <v>348</v>
      </c>
      <c r="B40" s="71" t="s">
        <v>386</v>
      </c>
      <c r="C40" s="82" t="n">
        <v>2</v>
      </c>
      <c r="D40" s="83" t="n">
        <f aca="false">'What made the difference'!C20</f>
        <v>2</v>
      </c>
      <c r="E40" s="84" t="n">
        <f aca="false">D40-C40</f>
        <v>0</v>
      </c>
      <c r="F40" s="75" t="str">
        <f aca="false">IF(ABS(E40)&lt;=0.0001,"reproduced",IF(ABS(E40)&lt;=0.0001*5,"rounding","CHECK"))</f>
        <v>reproduced</v>
      </c>
    </row>
    <row r="41" customFormat="false" ht="15" hidden="false" customHeight="false" outlineLevel="0" collapsed="false">
      <c r="A41" s="65" t="s">
        <v>348</v>
      </c>
      <c r="B41" s="38" t="s">
        <v>387</v>
      </c>
      <c r="C41" s="91" t="n">
        <v>1</v>
      </c>
      <c r="D41" s="92" t="n">
        <f aca="false">IF(LEFT('What made the difference'!C23,5)="never",1,0)</f>
        <v>1</v>
      </c>
      <c r="E41" s="93" t="n">
        <f aca="false">D41-C41</f>
        <v>0</v>
      </c>
      <c r="F41" s="69" t="str">
        <f aca="false">IF(ABS(E41)&lt;=0.0001,"reproduced",IF(ABS(E41)&lt;=0.0001*5,"rounding","CHECK"))</f>
        <v>reproduced</v>
      </c>
    </row>
    <row r="42" customFormat="false" ht="15" hidden="false" customHeight="false" outlineLevel="0" collapsed="false">
      <c r="A42" s="70" t="s">
        <v>348</v>
      </c>
      <c r="B42" s="71" t="s">
        <v>388</v>
      </c>
      <c r="C42" s="107" t="n">
        <v>15</v>
      </c>
      <c r="D42" s="108" t="n">
        <f aca="false">Diligence!C48</f>
        <v>15</v>
      </c>
      <c r="E42" s="109" t="n">
        <f aca="false">D42-C42</f>
        <v>0</v>
      </c>
      <c r="F42" s="75" t="str">
        <f aca="false">IF(ABS(E42)&lt;=0.05,"reproduced",IF(ABS(E42)&lt;=0.05*5,"rounding","CHECK"))</f>
        <v>reproduced</v>
      </c>
    </row>
    <row r="43" customFormat="false" ht="15" hidden="false" customHeight="false" outlineLevel="0" collapsed="false">
      <c r="A43" s="65" t="s">
        <v>348</v>
      </c>
      <c r="B43" s="38" t="s">
        <v>389</v>
      </c>
      <c r="C43" s="104" t="n">
        <v>3.95</v>
      </c>
      <c r="D43" s="105" t="n">
        <f aca="false">Structure!C32</f>
        <v>3.95294117647059</v>
      </c>
      <c r="E43" s="106" t="n">
        <f aca="false">D43-C43</f>
        <v>0.00294117647058911</v>
      </c>
      <c r="F43" s="69" t="str">
        <f aca="false">IF(ABS(E43)&lt;=0.005,"reproduced",IF(ABS(E43)&lt;=0.005*5,"rounding","CHECK"))</f>
        <v>reproduced</v>
      </c>
      <c r="H43" s="103" t="s">
        <v>390</v>
      </c>
    </row>
    <row r="44" customFormat="false" ht="15" hidden="false" customHeight="false" outlineLevel="0" collapsed="false">
      <c r="A44" s="70" t="s">
        <v>267</v>
      </c>
      <c r="B44" s="71" t="s">
        <v>391</v>
      </c>
      <c r="C44" s="82" t="n">
        <v>48</v>
      </c>
      <c r="D44" s="83" t="n">
        <f aca="false">'The pool''s life'!C9</f>
        <v>48</v>
      </c>
      <c r="E44" s="84" t="n">
        <f aca="false">D44-C44</f>
        <v>0</v>
      </c>
      <c r="F44" s="75" t="str">
        <f aca="false">IF(ABS(E44)&lt;=0.0001,"reproduced",IF(ABS(E44)&lt;=0.0001*5,"rounding","CHECK"))</f>
        <v>reproduced</v>
      </c>
    </row>
    <row r="45" customFormat="false" ht="15" hidden="false" customHeight="false" outlineLevel="0" collapsed="false">
      <c r="A45" s="65" t="s">
        <v>267</v>
      </c>
      <c r="B45" s="38" t="s">
        <v>392</v>
      </c>
      <c r="C45" s="104" t="n">
        <v>33.65</v>
      </c>
      <c r="D45" s="105" t="n">
        <f aca="false">'The pool''s life'!C20</f>
        <v>33.6503680647981</v>
      </c>
      <c r="E45" s="106" t="n">
        <f aca="false">D45-C45</f>
        <v>0.000368064798074386</v>
      </c>
      <c r="F45" s="69" t="str">
        <f aca="false">IF(ABS(E45)&lt;=0.005,"reproduced",IF(ABS(E45)&lt;=0.005*5,"rounding","CHECK"))</f>
        <v>reproduced</v>
      </c>
    </row>
    <row r="46" customFormat="false" ht="15" hidden="false" customHeight="false" outlineLevel="0" collapsed="false">
      <c r="A46" s="70" t="s">
        <v>267</v>
      </c>
      <c r="B46" s="71" t="s">
        <v>393</v>
      </c>
      <c r="C46" s="110" t="n">
        <v>18.68</v>
      </c>
      <c r="D46" s="111" t="n">
        <f aca="false">'The pool''s life'!C19</f>
        <v>18.6844954650185</v>
      </c>
      <c r="E46" s="112" t="n">
        <f aca="false">D46-C46</f>
        <v>0.00449546501848985</v>
      </c>
      <c r="F46" s="75" t="str">
        <f aca="false">IF(ABS(E46)&lt;=0.005,"reproduced",IF(ABS(E46)&lt;=0.005*5,"rounding","CHECK"))</f>
        <v>reproduced</v>
      </c>
    </row>
    <row r="47" customFormat="false" ht="15" hidden="false" customHeight="false" outlineLevel="0" collapsed="false">
      <c r="A47" s="65" t="s">
        <v>394</v>
      </c>
      <c r="B47" s="38" t="s">
        <v>395</v>
      </c>
      <c r="C47" s="66" t="n">
        <v>0.6724</v>
      </c>
      <c r="D47" s="67" t="n">
        <f aca="false">'The pool''s life'!D26</f>
        <v>0.672384953028109</v>
      </c>
      <c r="E47" s="68" t="n">
        <f aca="false">D47-C47</f>
        <v>-1.50469718905866E-005</v>
      </c>
      <c r="F47" s="69" t="str">
        <f aca="false">IF(ABS(E47)&lt;=0.0005,"reproduced",IF(ABS(E47)&lt;=0.0005*5,"rounding","CHECK"))</f>
        <v>reproduced</v>
      </c>
    </row>
    <row r="48" customFormat="false" ht="15" hidden="false" customHeight="false" outlineLevel="0" collapsed="false">
      <c r="A48" s="70" t="s">
        <v>394</v>
      </c>
      <c r="B48" s="71" t="s">
        <v>396</v>
      </c>
      <c r="C48" s="82" t="n">
        <v>24</v>
      </c>
      <c r="D48" s="83" t="n">
        <f aca="false">'The pool''s life'!F26</f>
        <v>24</v>
      </c>
      <c r="E48" s="84" t="n">
        <f aca="false">D48-C48</f>
        <v>0</v>
      </c>
      <c r="F48" s="75" t="str">
        <f aca="false">IF(ABS(E48)&lt;=0.0001,"reproduced",IF(ABS(E48)&lt;=0.0001*5,"rounding","CHECK"))</f>
        <v>reproduced</v>
      </c>
    </row>
    <row r="49" customFormat="false" ht="15" hidden="false" customHeight="false" outlineLevel="0" collapsed="false">
      <c r="A49" s="65" t="s">
        <v>394</v>
      </c>
      <c r="B49" s="38" t="s">
        <v>397</v>
      </c>
      <c r="C49" s="113" t="n">
        <v>0.0726</v>
      </c>
      <c r="D49" s="114" t="n">
        <f aca="false">'Stressed case'!B29</f>
        <v>0.072625</v>
      </c>
      <c r="E49" s="115" t="n">
        <f aca="false">D49-C49</f>
        <v>2.50000000000111E-005</v>
      </c>
      <c r="F49" s="69" t="str">
        <f aca="false">IF(ABS(E49)&lt;=0.00005,"reproduced",IF(ABS(E49)&lt;=0.00005*5,"rounding","CHECK"))</f>
        <v>reproduced</v>
      </c>
      <c r="H49" s="103" t="s">
        <v>398</v>
      </c>
    </row>
    <row r="50" customFormat="false" ht="15" hidden="false" customHeight="false" outlineLevel="0" collapsed="false">
      <c r="A50" s="70" t="s">
        <v>348</v>
      </c>
      <c r="B50" s="71" t="s">
        <v>399</v>
      </c>
      <c r="C50" s="110" t="n">
        <v>8.97</v>
      </c>
      <c r="D50" s="111" t="n">
        <f aca="false">Structure!C59</f>
        <v>8.96692287638239</v>
      </c>
      <c r="E50" s="112" t="n">
        <f aca="false">D50-C50</f>
        <v>-0.00307712361760615</v>
      </c>
      <c r="F50" s="75" t="str">
        <f aca="false">IF(ABS(E50)&lt;=0.05,"reproduced",IF(ABS(E50)&lt;=0.05*5,"rounding","CHECK"))</f>
        <v>reproduced</v>
      </c>
    </row>
    <row r="52" customFormat="false" ht="15" hidden="false" customHeight="false" outlineLevel="0" collapsed="false">
      <c r="A52" s="36" t="s">
        <v>400</v>
      </c>
      <c r="C52" s="31" t="n">
        <f aca="false">COUNTIF(F5:F50,"reproduced")</f>
        <v>46</v>
      </c>
    </row>
    <row r="53" customFormat="false" ht="15" hidden="false" customHeight="false" outlineLevel="0" collapsed="false">
      <c r="A53" s="36" t="s">
        <v>401</v>
      </c>
      <c r="C53" s="31" t="n">
        <f aca="false">COUNTIF(F5:F50,"rounding")</f>
        <v>0</v>
      </c>
    </row>
    <row r="54" customFormat="false" ht="15" hidden="false" customHeight="false" outlineLevel="0" collapsed="false">
      <c r="A54" s="36" t="s">
        <v>402</v>
      </c>
      <c r="C54" s="31" t="n">
        <f aca="false">COUNTIF(F5:F50,"CHECK")</f>
        <v>0</v>
      </c>
    </row>
    <row r="55" customFormat="false" ht="15" hidden="false" customHeight="false" outlineLevel="0" collapsed="false">
      <c r="A55" s="39" t="s">
        <v>403</v>
      </c>
      <c r="C55" s="39" t="str">
        <f aca="false">IF(AND(C52=46,C54=0),"ALL OK","SOME FAIL")</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2026-08-20T06:04:13Z</dcterms:created>
  <dc:creator>openpyxl</dc:creator>
  <dc:description/>
  <dc:language>en-US</dc:language>
  <cp:lastModifiedBy/>
  <dcterms:modified xsi:type="dcterms:W3CDTF">2026-09-24T00:48:28Z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